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I:\Compras 06 - CRISTIANE\Editais 2023\TP 1 Chafariz\TP 3 CAPS\"/>
    </mc:Choice>
  </mc:AlternateContent>
  <xr:revisionPtr revIDLastSave="0" documentId="8_{2C0C6C64-631E-4758-88F0-78871F0D7D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 M.A." sheetId="1" r:id="rId1"/>
    <sheet name="Estimativas de valores" sheetId="3" r:id="rId2"/>
    <sheet name="Cronograma" sheetId="4" r:id="rId3"/>
    <sheet name="Composição" sheetId="5" r:id="rId4"/>
  </sheets>
  <definedNames>
    <definedName name="_xlnm.Print_Area" localSheetId="0">'Orçamento M.A.'!$A$1:$M$185</definedName>
  </definedNames>
  <calcPr calcId="191029"/>
</workbook>
</file>

<file path=xl/calcChain.xml><?xml version="1.0" encoding="utf-8"?>
<calcChain xmlns="http://schemas.openxmlformats.org/spreadsheetml/2006/main">
  <c r="G147" i="5" l="1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J163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G143" i="5"/>
  <c r="G144" i="5"/>
  <c r="G145" i="5"/>
  <c r="G146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42" i="5"/>
  <c r="L147" i="5" l="1"/>
  <c r="L146" i="5"/>
  <c r="L156" i="5"/>
  <c r="L151" i="5"/>
  <c r="L145" i="5"/>
  <c r="L143" i="5"/>
  <c r="L160" i="5"/>
  <c r="L149" i="5"/>
  <c r="L148" i="5"/>
  <c r="L153" i="5"/>
  <c r="L163" i="5"/>
  <c r="L162" i="5"/>
  <c r="L161" i="5"/>
  <c r="L159" i="5"/>
  <c r="L158" i="5"/>
  <c r="L157" i="5"/>
  <c r="L155" i="5"/>
  <c r="L154" i="5"/>
  <c r="L152" i="5"/>
  <c r="L150" i="5"/>
  <c r="L144" i="5"/>
  <c r="K218" i="5" l="1"/>
  <c r="J218" i="5"/>
  <c r="G218" i="5"/>
  <c r="G216" i="5"/>
  <c r="K216" i="5"/>
  <c r="L216" i="5" s="1"/>
  <c r="J216" i="5"/>
  <c r="K217" i="5"/>
  <c r="K221" i="5" s="1"/>
  <c r="J217" i="5"/>
  <c r="G217" i="5"/>
  <c r="K220" i="5"/>
  <c r="J220" i="5"/>
  <c r="K219" i="5"/>
  <c r="J219" i="5"/>
  <c r="J221" i="5" l="1"/>
  <c r="L220" i="5"/>
  <c r="L218" i="5"/>
  <c r="L217" i="5"/>
  <c r="L219" i="5"/>
  <c r="L221" i="5" l="1"/>
  <c r="J89" i="1" l="1"/>
  <c r="L89" i="1" s="1"/>
  <c r="I89" i="1"/>
  <c r="M89" i="1" l="1"/>
  <c r="K89" i="1"/>
  <c r="J157" i="1"/>
  <c r="L157" i="1" s="1"/>
  <c r="I157" i="1"/>
  <c r="K157" i="1" s="1"/>
  <c r="I167" i="1"/>
  <c r="J167" i="1"/>
  <c r="I117" i="1"/>
  <c r="J117" i="1"/>
  <c r="M157" i="1" l="1"/>
  <c r="G194" i="5"/>
  <c r="K194" i="5"/>
  <c r="G193" i="5"/>
  <c r="K193" i="5"/>
  <c r="G192" i="5"/>
  <c r="K192" i="5"/>
  <c r="J194" i="5"/>
  <c r="J193" i="5"/>
  <c r="J192" i="5"/>
  <c r="L192" i="5" l="1"/>
  <c r="L194" i="5"/>
  <c r="L193" i="5"/>
  <c r="K26" i="5"/>
  <c r="K27" i="5" s="1"/>
  <c r="J26" i="5"/>
  <c r="K25" i="5"/>
  <c r="J25" i="5"/>
  <c r="J154" i="1"/>
  <c r="L154" i="1" s="1"/>
  <c r="I154" i="1"/>
  <c r="K154" i="1" s="1"/>
  <c r="J153" i="1"/>
  <c r="L153" i="1" s="1"/>
  <c r="I153" i="1"/>
  <c r="K153" i="1" s="1"/>
  <c r="J152" i="1"/>
  <c r="L152" i="1" s="1"/>
  <c r="I152" i="1"/>
  <c r="K152" i="1" s="1"/>
  <c r="J151" i="1"/>
  <c r="L151" i="1" s="1"/>
  <c r="I151" i="1"/>
  <c r="K66" i="5"/>
  <c r="K67" i="5" s="1"/>
  <c r="J66" i="5"/>
  <c r="K65" i="5"/>
  <c r="J65" i="5"/>
  <c r="K58" i="5"/>
  <c r="K57" i="5"/>
  <c r="J57" i="5"/>
  <c r="J27" i="5" l="1"/>
  <c r="L27" i="5" s="1"/>
  <c r="L57" i="5"/>
  <c r="J67" i="5"/>
  <c r="L67" i="5" s="1"/>
  <c r="M151" i="1"/>
  <c r="K151" i="1"/>
  <c r="M154" i="1"/>
  <c r="L25" i="5"/>
  <c r="L26" i="5"/>
  <c r="M153" i="1"/>
  <c r="M152" i="1"/>
  <c r="L65" i="5"/>
  <c r="L66" i="5"/>
  <c r="K49" i="5"/>
  <c r="J49" i="5"/>
  <c r="G49" i="5"/>
  <c r="K50" i="5"/>
  <c r="J50" i="5"/>
  <c r="G50" i="5"/>
  <c r="K59" i="5"/>
  <c r="J58" i="5"/>
  <c r="J59" i="5" s="1"/>
  <c r="J112" i="1"/>
  <c r="L112" i="1" s="1"/>
  <c r="I112" i="1"/>
  <c r="K112" i="1" s="1"/>
  <c r="J90" i="1"/>
  <c r="L90" i="1" s="1"/>
  <c r="I90" i="1"/>
  <c r="K90" i="1" s="1"/>
  <c r="M90" i="1" l="1"/>
  <c r="M112" i="1"/>
  <c r="L59" i="5"/>
  <c r="K51" i="5"/>
  <c r="J51" i="5"/>
  <c r="L49" i="5"/>
  <c r="L50" i="5"/>
  <c r="L58" i="5"/>
  <c r="J43" i="1"/>
  <c r="L43" i="1" s="1"/>
  <c r="I43" i="1"/>
  <c r="K43" i="1" s="1"/>
  <c r="J15" i="1"/>
  <c r="L15" i="1" s="1"/>
  <c r="I15" i="1"/>
  <c r="K15" i="1" s="1"/>
  <c r="J11" i="1"/>
  <c r="I11" i="1"/>
  <c r="K11" i="1" s="1"/>
  <c r="J49" i="1"/>
  <c r="L49" i="1" s="1"/>
  <c r="J50" i="1"/>
  <c r="L50" i="1" s="1"/>
  <c r="J51" i="1"/>
  <c r="L51" i="1" s="1"/>
  <c r="J52" i="1"/>
  <c r="J53" i="1"/>
  <c r="L53" i="1" s="1"/>
  <c r="J54" i="1"/>
  <c r="L54" i="1" s="1"/>
  <c r="J55" i="1"/>
  <c r="L55" i="1" s="1"/>
  <c r="I49" i="1"/>
  <c r="I50" i="1"/>
  <c r="I51" i="1"/>
  <c r="K51" i="1" s="1"/>
  <c r="I52" i="1"/>
  <c r="K52" i="1" s="1"/>
  <c r="I53" i="1"/>
  <c r="I54" i="1"/>
  <c r="K54" i="1" s="1"/>
  <c r="I55" i="1"/>
  <c r="K55" i="1" s="1"/>
  <c r="L51" i="5" l="1"/>
  <c r="M53" i="1"/>
  <c r="M43" i="1"/>
  <c r="M52" i="1"/>
  <c r="M15" i="1"/>
  <c r="M49" i="1"/>
  <c r="L52" i="1"/>
  <c r="M54" i="1"/>
  <c r="K53" i="1"/>
  <c r="M55" i="1"/>
  <c r="M51" i="1"/>
  <c r="M50" i="1"/>
  <c r="K50" i="1"/>
  <c r="K49" i="1"/>
  <c r="J34" i="1"/>
  <c r="L34" i="1" s="1"/>
  <c r="I34" i="1"/>
  <c r="K34" i="1" s="1"/>
  <c r="G203" i="5"/>
  <c r="G204" i="5"/>
  <c r="G205" i="5"/>
  <c r="G206" i="5"/>
  <c r="G207" i="5"/>
  <c r="G208" i="5"/>
  <c r="G202" i="5"/>
  <c r="K208" i="5"/>
  <c r="J208" i="5"/>
  <c r="K207" i="5"/>
  <c r="J207" i="5"/>
  <c r="K206" i="5"/>
  <c r="J206" i="5"/>
  <c r="K205" i="5"/>
  <c r="J205" i="5"/>
  <c r="K204" i="5"/>
  <c r="J204" i="5"/>
  <c r="K203" i="5"/>
  <c r="J203" i="5"/>
  <c r="K202" i="5"/>
  <c r="J202" i="5"/>
  <c r="L208" i="5" l="1"/>
  <c r="M34" i="1"/>
  <c r="J209" i="5"/>
  <c r="K209" i="5"/>
  <c r="L202" i="5"/>
  <c r="L204" i="5"/>
  <c r="L206" i="5"/>
  <c r="L205" i="5"/>
  <c r="L207" i="5"/>
  <c r="L203" i="5"/>
  <c r="L209" i="5" l="1"/>
  <c r="J48" i="1" l="1"/>
  <c r="L48" i="1" s="1"/>
  <c r="I48" i="1"/>
  <c r="M48" i="1" l="1"/>
  <c r="K48" i="1"/>
  <c r="G191" i="5"/>
  <c r="K191" i="5"/>
  <c r="J191" i="5"/>
  <c r="G185" i="5"/>
  <c r="L191" i="5" l="1"/>
  <c r="K190" i="5"/>
  <c r="J190" i="5"/>
  <c r="G190" i="5"/>
  <c r="K189" i="5"/>
  <c r="J189" i="5"/>
  <c r="G189" i="5"/>
  <c r="K188" i="5"/>
  <c r="J188" i="5"/>
  <c r="G188" i="5"/>
  <c r="K187" i="5"/>
  <c r="J187" i="5"/>
  <c r="G187" i="5"/>
  <c r="K186" i="5"/>
  <c r="J186" i="5"/>
  <c r="G186" i="5"/>
  <c r="K185" i="5"/>
  <c r="J185" i="5"/>
  <c r="J195" i="5" l="1"/>
  <c r="K195" i="5"/>
  <c r="L187" i="5"/>
  <c r="L189" i="5"/>
  <c r="L186" i="5"/>
  <c r="L188" i="5"/>
  <c r="L190" i="5"/>
  <c r="L185" i="5"/>
  <c r="J104" i="1"/>
  <c r="L104" i="1" s="1"/>
  <c r="I104" i="1"/>
  <c r="J103" i="1"/>
  <c r="L103" i="1" s="1"/>
  <c r="I103" i="1"/>
  <c r="I105" i="1"/>
  <c r="J105" i="1"/>
  <c r="L195" i="5" l="1"/>
  <c r="M103" i="1"/>
  <c r="K103" i="1"/>
  <c r="K105" i="1"/>
  <c r="L105" i="1"/>
  <c r="M105" i="1"/>
  <c r="M104" i="1"/>
  <c r="K104" i="1"/>
  <c r="I35" i="1" l="1"/>
  <c r="J35" i="1"/>
  <c r="K35" i="1" l="1"/>
  <c r="L35" i="1"/>
  <c r="M35" i="1"/>
  <c r="I111" i="1" l="1"/>
  <c r="K111" i="1" s="1"/>
  <c r="J111" i="1"/>
  <c r="L111" i="1" s="1"/>
  <c r="M111" i="1" l="1"/>
  <c r="I22" i="1" l="1"/>
  <c r="K22" i="1" s="1"/>
  <c r="J22" i="1"/>
  <c r="L22" i="1" s="1"/>
  <c r="M22" i="1" l="1"/>
  <c r="I99" i="1"/>
  <c r="K99" i="1" s="1"/>
  <c r="J99" i="1"/>
  <c r="L99" i="1" s="1"/>
  <c r="I100" i="1"/>
  <c r="J100" i="1"/>
  <c r="M99" i="1" l="1"/>
  <c r="G101" i="1"/>
  <c r="G98" i="1"/>
  <c r="I70" i="1" l="1"/>
  <c r="J70" i="1"/>
  <c r="L70" i="1" s="1"/>
  <c r="I66" i="1"/>
  <c r="K66" i="1" s="1"/>
  <c r="J66" i="1"/>
  <c r="L66" i="1" s="1"/>
  <c r="K70" i="1" l="1"/>
  <c r="M70" i="1"/>
  <c r="M66" i="1"/>
  <c r="J61" i="1"/>
  <c r="I61" i="1"/>
  <c r="K61" i="1" s="1"/>
  <c r="M61" i="1" l="1"/>
  <c r="L61" i="1"/>
  <c r="I85" i="1"/>
  <c r="J85" i="1"/>
  <c r="K85" i="1" l="1"/>
  <c r="L85" i="1"/>
  <c r="M85" i="1"/>
  <c r="J32" i="1"/>
  <c r="L32" i="1" s="1"/>
  <c r="I32" i="1"/>
  <c r="K32" i="1" s="1"/>
  <c r="J29" i="1"/>
  <c r="I29" i="1"/>
  <c r="M32" i="1" l="1"/>
  <c r="M29" i="1"/>
  <c r="K29" i="1"/>
  <c r="L29" i="1"/>
  <c r="G9" i="1" l="1"/>
  <c r="I87" i="1" l="1"/>
  <c r="J87" i="1"/>
  <c r="L87" i="1" l="1"/>
  <c r="K87" i="1"/>
  <c r="M87" i="1"/>
  <c r="I56" i="1"/>
  <c r="K56" i="1" s="1"/>
  <c r="J56" i="1"/>
  <c r="L56" i="1" s="1"/>
  <c r="J175" i="5"/>
  <c r="K175" i="5"/>
  <c r="G175" i="5"/>
  <c r="J172" i="5"/>
  <c r="K172" i="5"/>
  <c r="J173" i="5"/>
  <c r="K173" i="5"/>
  <c r="J174" i="5"/>
  <c r="K174" i="5"/>
  <c r="J176" i="5"/>
  <c r="K176" i="5"/>
  <c r="J177" i="5"/>
  <c r="K177" i="5"/>
  <c r="G176" i="5"/>
  <c r="L177" i="5" l="1"/>
  <c r="L173" i="5"/>
  <c r="L174" i="5"/>
  <c r="L175" i="5"/>
  <c r="M56" i="1"/>
  <c r="L172" i="5"/>
  <c r="L176" i="5"/>
  <c r="G177" i="5"/>
  <c r="G174" i="5"/>
  <c r="G173" i="5"/>
  <c r="G172" i="5"/>
  <c r="K171" i="5"/>
  <c r="J171" i="5"/>
  <c r="G171" i="5"/>
  <c r="K178" i="5" l="1"/>
  <c r="J178" i="5"/>
  <c r="L171" i="5"/>
  <c r="I121" i="1"/>
  <c r="J121" i="1"/>
  <c r="L178" i="5" l="1"/>
  <c r="L121" i="1"/>
  <c r="M121" i="1"/>
  <c r="K121" i="1"/>
  <c r="J150" i="1"/>
  <c r="L150" i="1" s="1"/>
  <c r="I150" i="1"/>
  <c r="K150" i="1" s="1"/>
  <c r="I147" i="1"/>
  <c r="K147" i="1" s="1"/>
  <c r="J147" i="1"/>
  <c r="L147" i="1" s="1"/>
  <c r="I148" i="1"/>
  <c r="K148" i="1" s="1"/>
  <c r="J148" i="1"/>
  <c r="L148" i="1" s="1"/>
  <c r="I149" i="1"/>
  <c r="K149" i="1" s="1"/>
  <c r="J149" i="1"/>
  <c r="L149" i="1" s="1"/>
  <c r="M150" i="1" l="1"/>
  <c r="M147" i="1"/>
  <c r="M148" i="1"/>
  <c r="M149" i="1"/>
  <c r="G41" i="5" l="1"/>
  <c r="G33" i="5"/>
  <c r="K42" i="5"/>
  <c r="J42" i="5"/>
  <c r="G42" i="5"/>
  <c r="K41" i="5"/>
  <c r="J41" i="5"/>
  <c r="J9" i="5"/>
  <c r="G9" i="5"/>
  <c r="K43" i="5" l="1"/>
  <c r="L42" i="5"/>
  <c r="J43" i="5"/>
  <c r="L41" i="5"/>
  <c r="L43" i="5" s="1"/>
  <c r="J9" i="1" l="1"/>
  <c r="I9" i="1"/>
  <c r="J10" i="1"/>
  <c r="L10" i="1" s="1"/>
  <c r="I10" i="1"/>
  <c r="K10" i="1" s="1"/>
  <c r="L9" i="1" l="1"/>
  <c r="M9" i="1"/>
  <c r="K9" i="1"/>
  <c r="M10" i="1"/>
  <c r="I125" i="1"/>
  <c r="J125" i="1"/>
  <c r="L125" i="1" s="1"/>
  <c r="M125" i="1" l="1"/>
  <c r="K125" i="1"/>
  <c r="I162" i="1" l="1"/>
  <c r="K162" i="1" s="1"/>
  <c r="J162" i="1"/>
  <c r="L162" i="1" s="1"/>
  <c r="I163" i="1"/>
  <c r="J163" i="1"/>
  <c r="K163" i="1" l="1"/>
  <c r="L163" i="1"/>
  <c r="M163" i="1"/>
  <c r="M162" i="1"/>
  <c r="I127" i="1"/>
  <c r="J127" i="1"/>
  <c r="L127" i="1" s="1"/>
  <c r="M127" i="1" l="1"/>
  <c r="K127" i="1"/>
  <c r="I137" i="1"/>
  <c r="J137" i="1"/>
  <c r="L137" i="1" s="1"/>
  <c r="I118" i="1"/>
  <c r="K118" i="1" s="1"/>
  <c r="J118" i="1"/>
  <c r="L118" i="1" s="1"/>
  <c r="I119" i="1"/>
  <c r="K119" i="1" s="1"/>
  <c r="J119" i="1"/>
  <c r="L119" i="1" s="1"/>
  <c r="I120" i="1"/>
  <c r="K120" i="1" s="1"/>
  <c r="J120" i="1"/>
  <c r="L120" i="1" s="1"/>
  <c r="I77" i="1"/>
  <c r="J77" i="1"/>
  <c r="L77" i="1" s="1"/>
  <c r="M137" i="1" l="1"/>
  <c r="M77" i="1"/>
  <c r="K137" i="1"/>
  <c r="M119" i="1"/>
  <c r="M118" i="1"/>
  <c r="M120" i="1"/>
  <c r="K77" i="1"/>
  <c r="I133" i="1" l="1"/>
  <c r="K133" i="1" s="1"/>
  <c r="J133" i="1"/>
  <c r="L133" i="1" s="1"/>
  <c r="M133" i="1" l="1"/>
  <c r="K164" i="5" l="1"/>
  <c r="J164" i="5"/>
  <c r="G164" i="5"/>
  <c r="K142" i="5"/>
  <c r="J142" i="5"/>
  <c r="K135" i="5"/>
  <c r="J135" i="5"/>
  <c r="G135" i="5"/>
  <c r="K134" i="5"/>
  <c r="J134" i="5"/>
  <c r="G134" i="5"/>
  <c r="K133" i="5"/>
  <c r="J133" i="5"/>
  <c r="G133" i="5"/>
  <c r="K132" i="5"/>
  <c r="J132" i="5"/>
  <c r="G132" i="5"/>
  <c r="K124" i="5"/>
  <c r="J124" i="5"/>
  <c r="K123" i="5"/>
  <c r="G123" i="5"/>
  <c r="K122" i="5"/>
  <c r="J122" i="5"/>
  <c r="G122" i="5"/>
  <c r="K121" i="5"/>
  <c r="J121" i="5"/>
  <c r="G121" i="5"/>
  <c r="K120" i="5"/>
  <c r="J120" i="5"/>
  <c r="K119" i="5"/>
  <c r="J119" i="5"/>
  <c r="K118" i="5"/>
  <c r="G118" i="5"/>
  <c r="K117" i="5"/>
  <c r="J117" i="5"/>
  <c r="G117" i="5"/>
  <c r="K116" i="5"/>
  <c r="J116" i="5"/>
  <c r="G116" i="5"/>
  <c r="K115" i="5"/>
  <c r="J115" i="5"/>
  <c r="G115" i="5"/>
  <c r="K114" i="5"/>
  <c r="G114" i="5"/>
  <c r="K113" i="5"/>
  <c r="J113" i="5"/>
  <c r="K112" i="5"/>
  <c r="J112" i="5"/>
  <c r="G112" i="5"/>
  <c r="K111" i="5"/>
  <c r="J111" i="5"/>
  <c r="G111" i="5"/>
  <c r="K104" i="5"/>
  <c r="J104" i="5"/>
  <c r="K103" i="5"/>
  <c r="J103" i="5"/>
  <c r="K102" i="5"/>
  <c r="G102" i="5"/>
  <c r="K101" i="5"/>
  <c r="J101" i="5"/>
  <c r="K100" i="5"/>
  <c r="J100" i="5"/>
  <c r="G100" i="5"/>
  <c r="K99" i="5"/>
  <c r="J99" i="5"/>
  <c r="G99" i="5"/>
  <c r="K98" i="5"/>
  <c r="J98" i="5"/>
  <c r="G98" i="5"/>
  <c r="K97" i="5"/>
  <c r="J97" i="5"/>
  <c r="K96" i="5"/>
  <c r="J96" i="5"/>
  <c r="K95" i="5"/>
  <c r="J95" i="5"/>
  <c r="G95" i="5"/>
  <c r="K94" i="5"/>
  <c r="J94" i="5"/>
  <c r="G94" i="5"/>
  <c r="K93" i="5"/>
  <c r="G93" i="5"/>
  <c r="K92" i="5"/>
  <c r="J92" i="5"/>
  <c r="G92" i="5"/>
  <c r="K91" i="5"/>
  <c r="G91" i="5"/>
  <c r="K90" i="5"/>
  <c r="J90" i="5"/>
  <c r="K89" i="5"/>
  <c r="J89" i="5"/>
  <c r="G89" i="5"/>
  <c r="K88" i="5"/>
  <c r="J88" i="5"/>
  <c r="G88" i="5"/>
  <c r="K81" i="5"/>
  <c r="J81" i="5"/>
  <c r="G81" i="5"/>
  <c r="K80" i="5"/>
  <c r="J80" i="5"/>
  <c r="K79" i="5"/>
  <c r="J79" i="5"/>
  <c r="K78" i="5"/>
  <c r="J78" i="5"/>
  <c r="G78" i="5"/>
  <c r="K77" i="5"/>
  <c r="J77" i="5"/>
  <c r="G77" i="5"/>
  <c r="K76" i="5"/>
  <c r="J76" i="5"/>
  <c r="G76" i="5"/>
  <c r="K75" i="5"/>
  <c r="J75" i="5"/>
  <c r="G75" i="5"/>
  <c r="K74" i="5"/>
  <c r="G74" i="5"/>
  <c r="K73" i="5"/>
  <c r="G73" i="5"/>
  <c r="L167" i="1"/>
  <c r="L168" i="1" s="1"/>
  <c r="K34" i="5"/>
  <c r="J34" i="5"/>
  <c r="G34" i="5"/>
  <c r="K33" i="5"/>
  <c r="J33" i="5"/>
  <c r="K18" i="5"/>
  <c r="J18" i="5"/>
  <c r="K17" i="5"/>
  <c r="J17" i="5"/>
  <c r="G17" i="5"/>
  <c r="K10" i="5"/>
  <c r="J10" i="5"/>
  <c r="K9" i="5"/>
  <c r="F57" i="3"/>
  <c r="F47" i="3"/>
  <c r="F37" i="3"/>
  <c r="F28" i="3"/>
  <c r="F18" i="3"/>
  <c r="F7" i="3"/>
  <c r="J161" i="1"/>
  <c r="L161" i="1" s="1"/>
  <c r="I161" i="1"/>
  <c r="J160" i="1"/>
  <c r="I160" i="1"/>
  <c r="J159" i="1"/>
  <c r="L159" i="1" s="1"/>
  <c r="I159" i="1"/>
  <c r="J158" i="1"/>
  <c r="L158" i="1" s="1"/>
  <c r="I158" i="1"/>
  <c r="K158" i="1" s="1"/>
  <c r="J156" i="1"/>
  <c r="L156" i="1" s="1"/>
  <c r="I156" i="1"/>
  <c r="J155" i="1"/>
  <c r="L155" i="1" s="1"/>
  <c r="I155" i="1"/>
  <c r="K155" i="1" s="1"/>
  <c r="J146" i="1"/>
  <c r="L146" i="1" s="1"/>
  <c r="I146" i="1"/>
  <c r="J144" i="1"/>
  <c r="L144" i="1" s="1"/>
  <c r="I144" i="1"/>
  <c r="K144" i="1" s="1"/>
  <c r="J140" i="1"/>
  <c r="L140" i="1" s="1"/>
  <c r="I140" i="1"/>
  <c r="K140" i="1" s="1"/>
  <c r="J139" i="1"/>
  <c r="L139" i="1" s="1"/>
  <c r="I139" i="1"/>
  <c r="J138" i="1"/>
  <c r="I138" i="1"/>
  <c r="K138" i="1" s="1"/>
  <c r="J136" i="1"/>
  <c r="L136" i="1" s="1"/>
  <c r="I136" i="1"/>
  <c r="J135" i="1"/>
  <c r="L135" i="1" s="1"/>
  <c r="I135" i="1"/>
  <c r="K135" i="1" s="1"/>
  <c r="I134" i="1"/>
  <c r="J134" i="1"/>
  <c r="L134" i="1" s="1"/>
  <c r="J132" i="1"/>
  <c r="L132" i="1" s="1"/>
  <c r="I132" i="1"/>
  <c r="K132" i="1" s="1"/>
  <c r="J131" i="1"/>
  <c r="L131" i="1" s="1"/>
  <c r="I131" i="1"/>
  <c r="J130" i="1"/>
  <c r="L130" i="1" s="1"/>
  <c r="I130" i="1"/>
  <c r="K130" i="1" s="1"/>
  <c r="I126" i="1"/>
  <c r="K126" i="1" s="1"/>
  <c r="L117" i="1"/>
  <c r="J116" i="1"/>
  <c r="L116" i="1" s="1"/>
  <c r="I116" i="1"/>
  <c r="J114" i="1"/>
  <c r="L114" i="1" s="1"/>
  <c r="I114" i="1"/>
  <c r="K114" i="1" s="1"/>
  <c r="J113" i="1"/>
  <c r="L113" i="1" s="1"/>
  <c r="I113" i="1"/>
  <c r="K113" i="1" s="1"/>
  <c r="J110" i="1"/>
  <c r="L110" i="1" s="1"/>
  <c r="I110" i="1"/>
  <c r="K110" i="1" s="1"/>
  <c r="J102" i="1"/>
  <c r="I102" i="1"/>
  <c r="J101" i="1"/>
  <c r="L101" i="1" s="1"/>
  <c r="I101" i="1"/>
  <c r="J98" i="1"/>
  <c r="I98" i="1"/>
  <c r="K98" i="1" s="1"/>
  <c r="J97" i="1"/>
  <c r="I97" i="1"/>
  <c r="J94" i="1"/>
  <c r="L94" i="1" s="1"/>
  <c r="I94" i="1"/>
  <c r="J93" i="1"/>
  <c r="L93" i="1" s="1"/>
  <c r="I93" i="1"/>
  <c r="J88" i="1"/>
  <c r="I88" i="1"/>
  <c r="I86" i="1"/>
  <c r="J86" i="1"/>
  <c r="L86" i="1" s="1"/>
  <c r="I84" i="1"/>
  <c r="J84" i="1"/>
  <c r="J81" i="1"/>
  <c r="I81" i="1"/>
  <c r="G81" i="1"/>
  <c r="J80" i="1"/>
  <c r="L80" i="1" s="1"/>
  <c r="I80" i="1"/>
  <c r="K80" i="1" s="1"/>
  <c r="I76" i="1"/>
  <c r="J76" i="1"/>
  <c r="J75" i="1"/>
  <c r="L75" i="1" s="1"/>
  <c r="I75" i="1"/>
  <c r="J69" i="1"/>
  <c r="I69" i="1"/>
  <c r="J65" i="1"/>
  <c r="I65" i="1"/>
  <c r="J64" i="1"/>
  <c r="L64" i="1" s="1"/>
  <c r="I64" i="1"/>
  <c r="K64" i="1" s="1"/>
  <c r="J63" i="1"/>
  <c r="I63" i="1"/>
  <c r="K63" i="1" s="1"/>
  <c r="J62" i="1"/>
  <c r="L62" i="1" s="1"/>
  <c r="I62" i="1"/>
  <c r="J47" i="1"/>
  <c r="I47" i="1"/>
  <c r="J46" i="1"/>
  <c r="I46" i="1"/>
  <c r="J42" i="1"/>
  <c r="I42" i="1"/>
  <c r="J41" i="1"/>
  <c r="L41" i="1" s="1"/>
  <c r="I41" i="1"/>
  <c r="K41" i="1" s="1"/>
  <c r="I40" i="1"/>
  <c r="J40" i="1"/>
  <c r="G42" i="1"/>
  <c r="J39" i="1"/>
  <c r="L39" i="1" s="1"/>
  <c r="I39" i="1"/>
  <c r="J33" i="1"/>
  <c r="I33" i="1"/>
  <c r="J31" i="1"/>
  <c r="I31" i="1"/>
  <c r="J30" i="1"/>
  <c r="I30" i="1"/>
  <c r="J28" i="1"/>
  <c r="I28" i="1"/>
  <c r="J27" i="1"/>
  <c r="I27" i="1"/>
  <c r="I24" i="1"/>
  <c r="J24" i="1"/>
  <c r="J23" i="1"/>
  <c r="I23" i="1"/>
  <c r="J21" i="1"/>
  <c r="I21" i="1"/>
  <c r="I20" i="1"/>
  <c r="J20" i="1"/>
  <c r="I19" i="1"/>
  <c r="J19" i="1"/>
  <c r="I18" i="1"/>
  <c r="J18" i="1"/>
  <c r="I17" i="1"/>
  <c r="J17" i="1"/>
  <c r="J16" i="1"/>
  <c r="I16" i="1"/>
  <c r="I14" i="1"/>
  <c r="J14" i="1"/>
  <c r="L116" i="5" l="1"/>
  <c r="L119" i="5"/>
  <c r="G124" i="5"/>
  <c r="G97" i="1"/>
  <c r="G100" i="1" s="1"/>
  <c r="G102" i="1"/>
  <c r="L102" i="1" s="1"/>
  <c r="L69" i="1"/>
  <c r="L71" i="1" s="1"/>
  <c r="L103" i="5"/>
  <c r="L112" i="5"/>
  <c r="J19" i="5"/>
  <c r="J35" i="5"/>
  <c r="L34" i="5"/>
  <c r="L89" i="5"/>
  <c r="L81" i="5"/>
  <c r="J74" i="5"/>
  <c r="L74" i="5" s="1"/>
  <c r="L113" i="5"/>
  <c r="L120" i="5"/>
  <c r="L98" i="5"/>
  <c r="J114" i="5"/>
  <c r="L114" i="5" s="1"/>
  <c r="L124" i="5"/>
  <c r="J73" i="5"/>
  <c r="L78" i="5"/>
  <c r="K105" i="5"/>
  <c r="L17" i="5"/>
  <c r="L77" i="5"/>
  <c r="L100" i="5"/>
  <c r="K167" i="1"/>
  <c r="K168" i="1" s="1"/>
  <c r="J91" i="5"/>
  <c r="L91" i="5" s="1"/>
  <c r="L115" i="5"/>
  <c r="J11" i="5"/>
  <c r="L18" i="5"/>
  <c r="G101" i="5"/>
  <c r="L122" i="5"/>
  <c r="L134" i="5"/>
  <c r="L80" i="5"/>
  <c r="G90" i="5"/>
  <c r="J136" i="5"/>
  <c r="I115" i="1" s="1"/>
  <c r="K115" i="1" s="1"/>
  <c r="L10" i="5"/>
  <c r="J123" i="5"/>
  <c r="L123" i="5" s="1"/>
  <c r="L76" i="5"/>
  <c r="L99" i="5"/>
  <c r="L21" i="1"/>
  <c r="M93" i="1"/>
  <c r="K35" i="5"/>
  <c r="L97" i="5"/>
  <c r="G120" i="5"/>
  <c r="K165" i="5"/>
  <c r="K19" i="5"/>
  <c r="K82" i="5"/>
  <c r="G79" i="5"/>
  <c r="L94" i="5"/>
  <c r="L117" i="5"/>
  <c r="L142" i="5"/>
  <c r="L33" i="5"/>
  <c r="L104" i="5"/>
  <c r="L132" i="5"/>
  <c r="G80" i="5"/>
  <c r="L90" i="5"/>
  <c r="L92" i="5"/>
  <c r="L95" i="5"/>
  <c r="L121" i="5"/>
  <c r="L135" i="5"/>
  <c r="L96" i="5"/>
  <c r="L101" i="5"/>
  <c r="K136" i="5"/>
  <c r="J115" i="1" s="1"/>
  <c r="L115" i="1" s="1"/>
  <c r="L122" i="1" s="1"/>
  <c r="M117" i="1"/>
  <c r="L27" i="1"/>
  <c r="M16" i="1"/>
  <c r="K30" i="1"/>
  <c r="L23" i="1"/>
  <c r="L160" i="1"/>
  <c r="K117" i="1"/>
  <c r="M88" i="1"/>
  <c r="M159" i="1"/>
  <c r="K28" i="1"/>
  <c r="L76" i="1"/>
  <c r="L78" i="1" s="1"/>
  <c r="M139" i="1"/>
  <c r="K16" i="1"/>
  <c r="K31" i="1"/>
  <c r="K47" i="1"/>
  <c r="M131" i="1"/>
  <c r="K139" i="1"/>
  <c r="L33" i="1"/>
  <c r="M39" i="1"/>
  <c r="L84" i="1"/>
  <c r="M116" i="1"/>
  <c r="M146" i="1"/>
  <c r="M156" i="1"/>
  <c r="M42" i="1"/>
  <c r="M46" i="1"/>
  <c r="M62" i="1"/>
  <c r="M98" i="1"/>
  <c r="M135" i="1"/>
  <c r="K146" i="1"/>
  <c r="L18" i="1"/>
  <c r="M101" i="1"/>
  <c r="M132" i="1"/>
  <c r="M136" i="1"/>
  <c r="M47" i="1"/>
  <c r="M11" i="1"/>
  <c r="M75" i="1"/>
  <c r="K131" i="1"/>
  <c r="M138" i="1"/>
  <c r="M40" i="1"/>
  <c r="K40" i="1"/>
  <c r="L24" i="1"/>
  <c r="L40" i="1"/>
  <c r="L47" i="1"/>
  <c r="K116" i="1"/>
  <c r="M19" i="1"/>
  <c r="L14" i="1"/>
  <c r="L17" i="1"/>
  <c r="L28" i="1"/>
  <c r="K93" i="1"/>
  <c r="M23" i="1"/>
  <c r="M28" i="1"/>
  <c r="K39" i="1"/>
  <c r="L63" i="1"/>
  <c r="K84" i="1"/>
  <c r="M20" i="1"/>
  <c r="M27" i="1"/>
  <c r="M63" i="1"/>
  <c r="M84" i="1"/>
  <c r="L95" i="1"/>
  <c r="L138" i="1"/>
  <c r="L141" i="1" s="1"/>
  <c r="L16" i="1"/>
  <c r="L42" i="1"/>
  <c r="M64" i="1"/>
  <c r="M80" i="1"/>
  <c r="K101" i="1"/>
  <c r="M110" i="1"/>
  <c r="M144" i="1"/>
  <c r="K156" i="1"/>
  <c r="K23" i="1"/>
  <c r="M41" i="1"/>
  <c r="K24" i="1"/>
  <c r="M24" i="1"/>
  <c r="M14" i="1"/>
  <c r="K14" i="1"/>
  <c r="M140" i="1"/>
  <c r="K159" i="1"/>
  <c r="M167" i="1"/>
  <c r="L111" i="5"/>
  <c r="K125" i="5"/>
  <c r="M81" i="1"/>
  <c r="L81" i="1"/>
  <c r="L82" i="1" s="1"/>
  <c r="K81" i="1"/>
  <c r="K82" i="1" s="1"/>
  <c r="K21" i="1"/>
  <c r="L98" i="1"/>
  <c r="L11" i="1"/>
  <c r="L12" i="1" s="1"/>
  <c r="K20" i="1"/>
  <c r="K33" i="1"/>
  <c r="K46" i="1"/>
  <c r="L88" i="1"/>
  <c r="K88" i="1"/>
  <c r="M113" i="1"/>
  <c r="M161" i="1"/>
  <c r="K161" i="1"/>
  <c r="L9" i="5"/>
  <c r="J93" i="5"/>
  <c r="L93" i="5" s="1"/>
  <c r="J118" i="5"/>
  <c r="J165" i="5"/>
  <c r="K12" i="1"/>
  <c r="L30" i="1"/>
  <c r="K62" i="1"/>
  <c r="K17" i="1"/>
  <c r="K18" i="1"/>
  <c r="K19" i="1"/>
  <c r="L20" i="1"/>
  <c r="M33" i="1"/>
  <c r="K42" i="1"/>
  <c r="L46" i="1"/>
  <c r="K75" i="1"/>
  <c r="M86" i="1"/>
  <c r="K86" i="1"/>
  <c r="M114" i="1"/>
  <c r="K128" i="1"/>
  <c r="M130" i="1"/>
  <c r="M134" i="1"/>
  <c r="K134" i="1"/>
  <c r="K136" i="1"/>
  <c r="M155" i="1"/>
  <c r="M158" i="1"/>
  <c r="M160" i="1"/>
  <c r="K160" i="1"/>
  <c r="K11" i="5"/>
  <c r="L79" i="5"/>
  <c r="G97" i="5"/>
  <c r="G104" i="5"/>
  <c r="L31" i="1"/>
  <c r="M31" i="1"/>
  <c r="M17" i="1"/>
  <c r="M18" i="1"/>
  <c r="K27" i="1"/>
  <c r="M30" i="1"/>
  <c r="J126" i="1"/>
  <c r="L133" i="5"/>
  <c r="L164" i="5"/>
  <c r="L19" i="1"/>
  <c r="M69" i="1"/>
  <c r="M71" i="1" s="1"/>
  <c r="K69" i="1"/>
  <c r="K71" i="1" s="1"/>
  <c r="M76" i="1"/>
  <c r="M21" i="1"/>
  <c r="M65" i="1"/>
  <c r="L65" i="1"/>
  <c r="K65" i="1"/>
  <c r="K76" i="1"/>
  <c r="M94" i="1"/>
  <c r="K94" i="1"/>
  <c r="L75" i="5"/>
  <c r="J102" i="5"/>
  <c r="L102" i="5" s="1"/>
  <c r="G113" i="5"/>
  <c r="L88" i="5"/>
  <c r="G96" i="5"/>
  <c r="G103" i="5"/>
  <c r="G119" i="5"/>
  <c r="M91" i="1" l="1"/>
  <c r="L91" i="1"/>
  <c r="K91" i="1"/>
  <c r="M102" i="1"/>
  <c r="M67" i="1"/>
  <c r="M97" i="1"/>
  <c r="L35" i="5"/>
  <c r="M36" i="1"/>
  <c r="K36" i="1"/>
  <c r="L36" i="1"/>
  <c r="K102" i="1"/>
  <c r="M100" i="1"/>
  <c r="L100" i="1"/>
  <c r="K100" i="1"/>
  <c r="L97" i="1"/>
  <c r="K97" i="1"/>
  <c r="K67" i="1"/>
  <c r="L67" i="1"/>
  <c r="K122" i="1"/>
  <c r="L11" i="5"/>
  <c r="J82" i="5"/>
  <c r="L57" i="1"/>
  <c r="J125" i="5"/>
  <c r="L165" i="5"/>
  <c r="L19" i="5"/>
  <c r="L73" i="5"/>
  <c r="L82" i="5" s="1"/>
  <c r="L136" i="5"/>
  <c r="M12" i="1"/>
  <c r="F7" i="4" s="1"/>
  <c r="R7" i="4" s="1"/>
  <c r="L164" i="1"/>
  <c r="K164" i="1"/>
  <c r="M164" i="1"/>
  <c r="M78" i="1"/>
  <c r="K78" i="1"/>
  <c r="M115" i="1"/>
  <c r="M122" i="1" s="1"/>
  <c r="M57" i="1"/>
  <c r="K57" i="1"/>
  <c r="M82" i="1"/>
  <c r="L25" i="1"/>
  <c r="K95" i="1"/>
  <c r="L44" i="1"/>
  <c r="K44" i="1"/>
  <c r="K141" i="1"/>
  <c r="K142" i="1" s="1"/>
  <c r="K25" i="1"/>
  <c r="M25" i="1"/>
  <c r="J105" i="5"/>
  <c r="M44" i="1"/>
  <c r="M126" i="1"/>
  <c r="M128" i="1" s="1"/>
  <c r="L126" i="1"/>
  <c r="L128" i="1" s="1"/>
  <c r="L118" i="5"/>
  <c r="L125" i="5" s="1"/>
  <c r="L105" i="5"/>
  <c r="M95" i="1"/>
  <c r="M141" i="1"/>
  <c r="M168" i="1"/>
  <c r="P14" i="4" s="1"/>
  <c r="R14" i="4" s="1"/>
  <c r="K106" i="1" l="1"/>
  <c r="K107" i="1" s="1"/>
  <c r="L106" i="1"/>
  <c r="L107" i="1" s="1"/>
  <c r="M106" i="1"/>
  <c r="M107" i="1" s="1"/>
  <c r="M142" i="1"/>
  <c r="M165" i="1" s="1"/>
  <c r="J9" i="4"/>
  <c r="H9" i="4"/>
  <c r="F8" i="4"/>
  <c r="H8" i="4"/>
  <c r="K58" i="1"/>
  <c r="L58" i="1"/>
  <c r="M58" i="1"/>
  <c r="L142" i="1"/>
  <c r="L165" i="1" s="1"/>
  <c r="K165" i="1"/>
  <c r="L72" i="1"/>
  <c r="K72" i="1"/>
  <c r="M72" i="1"/>
  <c r="R9" i="4" l="1"/>
  <c r="L13" i="4"/>
  <c r="H13" i="4"/>
  <c r="J13" i="4"/>
  <c r="N13" i="4"/>
  <c r="P13" i="4"/>
  <c r="R8" i="4"/>
  <c r="P12" i="4"/>
  <c r="L12" i="4"/>
  <c r="N12" i="4"/>
  <c r="H11" i="4"/>
  <c r="J11" i="4"/>
  <c r="L11" i="4"/>
  <c r="N11" i="4"/>
  <c r="J10" i="4"/>
  <c r="L10" i="4"/>
  <c r="M169" i="1"/>
  <c r="Q89" i="1" s="1"/>
  <c r="F16" i="4"/>
  <c r="L169" i="1"/>
  <c r="K169" i="1"/>
  <c r="Q154" i="1" l="1"/>
  <c r="Q157" i="1"/>
  <c r="Q152" i="1"/>
  <c r="Q153" i="1"/>
  <c r="Q112" i="1"/>
  <c r="Q151" i="1"/>
  <c r="Q90" i="1"/>
  <c r="Q103" i="1"/>
  <c r="Q104" i="1"/>
  <c r="Q61" i="1"/>
  <c r="Q43" i="1"/>
  <c r="Q34" i="1"/>
  <c r="Q15" i="1"/>
  <c r="Q77" i="1"/>
  <c r="Q35" i="1"/>
  <c r="Q105" i="1"/>
  <c r="Q32" i="1"/>
  <c r="Q111" i="1"/>
  <c r="Q70" i="1"/>
  <c r="Q22" i="1"/>
  <c r="Q55" i="1"/>
  <c r="Q54" i="1"/>
  <c r="Q56" i="1"/>
  <c r="Q99" i="1"/>
  <c r="Q100" i="1"/>
  <c r="Q85" i="1"/>
  <c r="Q66" i="1"/>
  <c r="J16" i="4"/>
  <c r="Q87" i="1"/>
  <c r="Q29" i="1"/>
  <c r="U17" i="4"/>
  <c r="Q88" i="1"/>
  <c r="Q124" i="1"/>
  <c r="Q126" i="1"/>
  <c r="Q123" i="1"/>
  <c r="Q125" i="1"/>
  <c r="Q121" i="1"/>
  <c r="Q141" i="1"/>
  <c r="Q143" i="1"/>
  <c r="Q142" i="1"/>
  <c r="Q149" i="1"/>
  <c r="Q150" i="1"/>
  <c r="Q148" i="1"/>
  <c r="Q147" i="1"/>
  <c r="P16" i="4"/>
  <c r="R12" i="4"/>
  <c r="N16" i="4"/>
  <c r="R10" i="4"/>
  <c r="L16" i="4"/>
  <c r="R13" i="4"/>
  <c r="R11" i="4"/>
  <c r="H16" i="4"/>
  <c r="F17" i="4"/>
  <c r="Q9" i="1"/>
  <c r="Q10" i="1"/>
  <c r="Q163" i="1"/>
  <c r="Q162" i="1"/>
  <c r="Q127" i="1"/>
  <c r="Q137" i="1"/>
  <c r="Q119" i="1"/>
  <c r="Q120" i="1"/>
  <c r="Q118" i="1"/>
  <c r="Q133" i="1"/>
  <c r="Q64" i="1"/>
  <c r="Q65" i="1"/>
  <c r="Q169" i="1"/>
  <c r="Q146" i="1"/>
  <c r="Q110" i="1"/>
  <c r="Q132" i="1"/>
  <c r="Q16" i="1"/>
  <c r="Q101" i="1"/>
  <c r="Q19" i="1"/>
  <c r="Q42" i="1"/>
  <c r="Q63" i="1"/>
  <c r="Q159" i="1"/>
  <c r="Q131" i="1"/>
  <c r="Q115" i="1"/>
  <c r="Q23" i="1"/>
  <c r="Q135" i="1"/>
  <c r="Q62" i="1"/>
  <c r="Q117" i="1"/>
  <c r="Q28" i="1"/>
  <c r="Q156" i="1"/>
  <c r="Q40" i="1"/>
  <c r="Q98" i="1"/>
  <c r="Q144" i="1"/>
  <c r="Q80" i="1"/>
  <c r="Q139" i="1"/>
  <c r="Q47" i="1"/>
  <c r="Q93" i="1"/>
  <c r="Q41" i="1"/>
  <c r="Q136" i="1"/>
  <c r="Q138" i="1"/>
  <c r="Q75" i="1"/>
  <c r="Q116" i="1"/>
  <c r="Q27" i="1"/>
  <c r="Q20" i="1"/>
  <c r="Q11" i="1"/>
  <c r="Q84" i="1"/>
  <c r="Q39" i="1"/>
  <c r="Q46" i="1"/>
  <c r="Q67" i="1"/>
  <c r="Q30" i="1"/>
  <c r="Q24" i="1"/>
  <c r="Q140" i="1"/>
  <c r="Q94" i="1"/>
  <c r="Q134" i="1"/>
  <c r="Q86" i="1"/>
  <c r="Q18" i="1"/>
  <c r="Q57" i="1"/>
  <c r="Q158" i="1"/>
  <c r="Q113" i="1"/>
  <c r="Q76" i="1"/>
  <c r="Q31" i="1"/>
  <c r="Q114" i="1"/>
  <c r="Q161" i="1"/>
  <c r="Q160" i="1"/>
  <c r="Q97" i="1"/>
  <c r="Q82" i="1"/>
  <c r="Q69" i="1"/>
  <c r="Q122" i="1"/>
  <c r="Q155" i="1"/>
  <c r="Q102" i="1"/>
  <c r="Q17" i="1"/>
  <c r="Q12" i="1"/>
  <c r="Q33" i="1"/>
  <c r="Q78" i="1"/>
  <c r="Q81" i="1"/>
  <c r="Q167" i="1"/>
  <c r="Q14" i="1"/>
  <c r="Q130" i="1"/>
  <c r="Q21" i="1"/>
  <c r="Q25" i="1"/>
  <c r="Q91" i="1"/>
  <c r="Q168" i="1"/>
  <c r="Q71" i="1"/>
  <c r="Q95" i="1"/>
  <c r="Q44" i="1"/>
  <c r="Q106" i="1"/>
  <c r="Q164" i="1"/>
  <c r="Q107" i="1"/>
  <c r="Q58" i="1"/>
  <c r="Q72" i="1"/>
  <c r="Q165" i="1"/>
  <c r="R16" i="4" l="1"/>
  <c r="G16" i="4" s="1"/>
  <c r="H17" i="4"/>
  <c r="S10" i="4" l="1"/>
  <c r="M16" i="4"/>
  <c r="S12" i="4"/>
  <c r="S11" i="4"/>
  <c r="Q16" i="4"/>
  <c r="O16" i="4"/>
  <c r="S9" i="4"/>
  <c r="I16" i="4"/>
  <c r="S13" i="4"/>
  <c r="S14" i="4"/>
  <c r="S7" i="4"/>
  <c r="S8" i="4"/>
  <c r="G17" i="4"/>
  <c r="K16" i="4"/>
  <c r="J17" i="4"/>
  <c r="I17" i="4"/>
  <c r="L17" i="4" l="1"/>
  <c r="K17" i="4"/>
  <c r="N17" i="4" l="1"/>
  <c r="M17" i="4"/>
  <c r="P17" i="4" l="1"/>
  <c r="Q17" i="4" s="1"/>
  <c r="O17" i="4"/>
</calcChain>
</file>

<file path=xl/sharedStrings.xml><?xml version="1.0" encoding="utf-8"?>
<sst xmlns="http://schemas.openxmlformats.org/spreadsheetml/2006/main" count="1214" uniqueCount="553">
  <si>
    <t>Barra de apoio para banheiro</t>
  </si>
  <si>
    <t>80 cm</t>
  </si>
  <si>
    <t>Crismoe Barra de Apoio Inox Branco 80 Cm</t>
  </si>
  <si>
    <t>https://www.cec.com.br/metais-e-acessorios/acessorios/barra-de-apoio/barra-de-apoio-inox-branco-80-cm?produto=1172832</t>
  </si>
  <si>
    <t>m³</t>
  </si>
  <si>
    <t>Barra de Apoio Astra, 80 cm, Branca - BP36/7</t>
  </si>
  <si>
    <t>https://www.taqi.com.br/produto/acessorios-para-banheiro/barra-apoio-astra-BP36-7/118743/</t>
  </si>
  <si>
    <t>Cliente: PREFEITURA MUNICIPAL DE TRIUNFO</t>
  </si>
  <si>
    <t>Barra de Apoio Jackwal, Inox, 80 cm</t>
  </si>
  <si>
    <t>https://www.taqi.com.br/produto/acessorios-para-banheiro/barra-de-apoio-jackwal-80-cm-reta-inox-6023/108235/</t>
  </si>
  <si>
    <t>SEM BDI</t>
  </si>
  <si>
    <t>Barra de Apoio Normatizada Metal 80cm Sicmol</t>
  </si>
  <si>
    <t>Código</t>
  </si>
  <si>
    <t>Descrição</t>
  </si>
  <si>
    <t>m²</t>
  </si>
  <si>
    <t>https://www.leroymerlin.com.br/barra-de-apoio-normatizada-metal-80cm-sicmol_88458741</t>
  </si>
  <si>
    <t>Un.</t>
  </si>
  <si>
    <t>Quantidade</t>
  </si>
  <si>
    <t>PREÇO UNITÁRIO COM BDI</t>
  </si>
  <si>
    <t>BARRA PARA LAVATORIO DE CANTO</t>
  </si>
  <si>
    <t>Barra de proteção para pia modelo canto em aço inox - Barracerta</t>
  </si>
  <si>
    <t>https://www.americanas.com.br/produto/49918935/barra-de-protecao-para-pia-modelo-canto-em-aco-inox-barracerta-1?DCSext.recom=RR_item_page.rr1-CategorySiloedViewCP&amp;nm_origem=rec_item_page.rr1-CategorySiloedViewCP&amp;nm_ranking_rec=1</t>
  </si>
  <si>
    <t>PREÇO TOTAL COM BDI</t>
  </si>
  <si>
    <t>Barra Apoio para Banheiro em Inox Reta 040cm 53.014</t>
  </si>
  <si>
    <t>https://torneiraeletronica.com.br/produto/barra-apoio-para-banheiro-em-inox-reta-040cm-53-014/159144</t>
  </si>
  <si>
    <t>Barra de apoio para lavatório de canto</t>
  </si>
  <si>
    <t>kg</t>
  </si>
  <si>
    <t>Material</t>
  </si>
  <si>
    <t>https://www.barracerta.com.br/produto/barra-para-lavatorio-de-canto/</t>
  </si>
  <si>
    <t>Mão de Obra</t>
  </si>
  <si>
    <t>Custo Material</t>
  </si>
  <si>
    <t>Total</t>
  </si>
  <si>
    <t>Barra de Apoio para Lavatório de Canto 53.032</t>
  </si>
  <si>
    <t>https://torneiraeletronica.com.br/produto/barra-de-apoio-para-lavatorio-de-canto-53-032/161792</t>
  </si>
  <si>
    <t>Mat</t>
  </si>
  <si>
    <t>M.O.</t>
  </si>
  <si>
    <t>%</t>
  </si>
  <si>
    <t>Lavatório suspenso de canto</t>
  </si>
  <si>
    <t>SERVIÇOS PRELIMINARES</t>
  </si>
  <si>
    <t>Celite - Leroy Merlin</t>
  </si>
  <si>
    <t>https://www.leroymerlin.com.br/lavatorio-suspenso-canto-39,50x29x12,50cm-branco-celite_87792796</t>
  </si>
  <si>
    <t>m</t>
  </si>
  <si>
    <t>Celite - Taqi</t>
  </si>
  <si>
    <t>https://www.taqi.com.br/produto/cubas/lavatorio-suspenso-de-canto-celite-335-x-335-cm/106624/</t>
  </si>
  <si>
    <t>Celite - Telhanorte</t>
  </si>
  <si>
    <t>https://www.telhanorte.com.br/lavatorio-de-canto-suspenso-branco-celite-1060945/p?idsku=1060945&amp;gclid=Cj0KCQjwl8XtBRDAARIsAKfwtxCfwvz9_6koOy_XOnXQmE5MzTH470swXIzTP0asGCkN-7y5If0LX08aAsWhEALw_wcB</t>
  </si>
  <si>
    <t>Celite - C&amp;C Casa Contrução</t>
  </si>
  <si>
    <t>https://www.cec.com.br/material-de-construcao/loucas/banheiro/lavatorio/suspenso/lavatorio-de-canto-suspenso-redondo-32-5x39-5cm-branco?produto=1134915&amp;utm_content=material-de-construcao&amp;utm_medium=cpc&amp;utm_campaign=GoogleShop&amp;utm_source=google-shopping&amp;idpublicacao=791d2005-d206-4804-b297-71cab438caf1&amp;gclid=Cj0KCQjwl8XtBRDAARIsAKfwtxA_AExp88YVw7tj3nUP4nADvA8OjQjjCT0r-igeteuTBe5FZwp-h7gaAjpNEALw_wcB</t>
  </si>
  <si>
    <t>Média de valores</t>
  </si>
  <si>
    <t>Total item 1</t>
  </si>
  <si>
    <t>Dispenser papel toalha</t>
  </si>
  <si>
    <t xml:space="preserve">Dispenser para Papel Toalha Folha Plástico Urban Premisse </t>
  </si>
  <si>
    <t>INFRAESTRUTURA</t>
  </si>
  <si>
    <t>https://www.leroymerlin.com.br/dispenser-para-papel-toalha-folha-plastico-urban-premisse_89524841?store_code=32&amp;gclid=Cj0KCQjwl8XtBRDAARIsAKfwtxCAbNDuRwEpH8dMb1kivCta_8NpOVqC5lca743BVqEvE-rI7qD0CSIaAjhiEALw_wcB</t>
  </si>
  <si>
    <t xml:space="preserve">Dispenser papel toalha interfolhas 2/3 dobras branco 1070 Biovis CX 1 UN </t>
  </si>
  <si>
    <t>https://www.kalunga.com.br/prod/dispenser-papel-toalha-interfolhas-2-3-dobras-branco-1070-biovis/324112?pcID=39&amp;gclid=Cj0KCQjwl8XtBRDAARIsAKfwtxB0A3TkHRg-1jHrcocbU4GQ12Fhpac_m0ix3KL0BxNAZQh-t1aRHlsaAvbLEALw_wcB</t>
  </si>
  <si>
    <t>Dispenser p/ Papel Toalha Interfolhado 2 ou 3 Dobras em Epoxi Branco - 2825E - Aurimar</t>
  </si>
  <si>
    <t>https://comali.com.br/dispenser-interfolhado-2-ou-3-dobras-em-epoxi-branco-2825-aurimar</t>
  </si>
  <si>
    <t>Dispenser de Papel Toalha aço pintura epóxi Interfolhas 14.008</t>
  </si>
  <si>
    <t>https://torneiraeletronica.com.br/produto/dispenser-de-papel-toalha-aco-pintura-epoxi-interfolhas-14-008/162417</t>
  </si>
  <si>
    <t>Caixa acoplada</t>
  </si>
  <si>
    <t>Caixa acoplada para bacia 3/6 litros universal Duna Vogue Plus Monte Carlo Village Fast creme Deca</t>
  </si>
  <si>
    <t>https://www.telhanorte.com.br/caixa-acoplada-para-bacia-36-litros-universal-duna-vogue-plus-monte-carlo-village-fast-creme-deca-954675/p</t>
  </si>
  <si>
    <t>ESCAVAÇÃO MANUAL PARA BLOCO DE COROAMENTO OU SAPATA, COM PREVISÃO DE FÔRMA.</t>
  </si>
  <si>
    <t>Caixa Acoplada Ecoflush 3/6 Litros Smart Branca</t>
  </si>
  <si>
    <t>https://www.americanas.com.br/produto/43589641/caixa-acoplada-ecoflush-3-6-litros-smart-branca?pfm_carac=caixa%20acoplada%20celite&amp;pfm_index=8&amp;pfm_page=search&amp;pfm_pos=grid&amp;pfm_type=search_page%20&amp;sellerId</t>
  </si>
  <si>
    <t xml:space="preserve">Caixa Acoplada com Acionamento Duo Carrara Branca </t>
  </si>
  <si>
    <t>https://www.cec.com.br/material-de-construcao/loucas/banheiro/bacia/caixa-acoplada/caixa-acoplada-com-acionamento-duo-carrara-branca?produto=1138851&amp;utm_content=material-de-construcao&amp;utm_medium=cpc&amp;utm_campaign=GoogleShop&amp;utm_source=google-shopping&amp;idpublicacao=791d2005-d206-4804-b297-71cab438caf1&amp;gclid=Cj0KCQjwl8XtBRDAARIsAKfwtxBZWSSWU3j48LLHS0DzBNSFi-h1VW-howChHkaYf0PG-uQzDPrMzF4aAp31EALw_wcB</t>
  </si>
  <si>
    <t xml:space="preserve">Caixa Acoplada Duo 3/6 Litros Vogue Plus Conforto Branca </t>
  </si>
  <si>
    <t>https://www.cec.com.br/material-de-construcao/loucas/banheiro/bacia/caixa-acoplada/caixa-acoplada-duo-3/6-litros-vogue-plus-conforto-branca?produto=1227766</t>
  </si>
  <si>
    <t>Kit Caixa acoplada</t>
  </si>
  <si>
    <t xml:space="preserve">Kit Universal Duplo Fluxo para Caixa Acoplada 9562 Censi </t>
  </si>
  <si>
    <t>https://www.leroymerlin.com.br/kit-universal-duplo-fluxo-para-caixa-acoplada-9562-censi_87732750?store_code=32</t>
  </si>
  <si>
    <t>Kit universal para instalação de caixa acoplada deca duo</t>
  </si>
  <si>
    <t xml:space="preserve">Conjunto Completo para Caixa Acoplada com Duplo Acionamento Cromado </t>
  </si>
  <si>
    <t>https://www.cec.com.br/metais-e-acessorios/acessorios/kits/conjunto-completo-para-caixa-acoplada-com-duplo-acionamento-cromado?produto=1229316</t>
  </si>
  <si>
    <t>Kit Mecanismo Roco para Caixa Acoplada, 3/6 Litros - 1240</t>
  </si>
  <si>
    <t>https://www.taqi.com.br/produto/complementos-hidraulicos/conjunto-para-caixa-acoplada-roco-1240/183917/</t>
  </si>
  <si>
    <t>FABRICAÇÃO, MONTAGEM E DESMONTAGEM DE FÔRMA PARA BLOCO DE COROAMENTO, EM MADEIRA SERRADA, E=25 MM, 2 UTILIZAÇÕES.</t>
  </si>
  <si>
    <t>FABRICAÇÃO, MONTAGEM E DESMONTAGEM DE FÔRMA PARA VIGA BALDRAME, EM MADEIRA SERRADA, E=25 MM, 2 UTILIZAÇÕES.</t>
  </si>
  <si>
    <t>ITEM</t>
  </si>
  <si>
    <t>ETAPA 1</t>
  </si>
  <si>
    <t>ETAPA 2</t>
  </si>
  <si>
    <t>ETAPA 3</t>
  </si>
  <si>
    <t>ARMAÇÃO DE BLOCO, VIGA BALDRAME OU SAPATA UTILIZANDO AÇO CA-50 DE 10 MM - MONTAGEM.</t>
  </si>
  <si>
    <t>TOTAL</t>
  </si>
  <si>
    <t>VALOR [R$]</t>
  </si>
  <si>
    <t>CONCRETAGEM DE BLOCOS DE COROAMENTO E VIGAS BALDRAMES COM USO DE BOMBA LANÇAMENTO, ADENSAMENTO E ACABAMENTO.</t>
  </si>
  <si>
    <t>SUPRAESTRUTURA</t>
  </si>
  <si>
    <t xml:space="preserve">ESQUADRIAS </t>
  </si>
  <si>
    <t>Total item 2</t>
  </si>
  <si>
    <t xml:space="preserve">ÁGUA FRIA </t>
  </si>
  <si>
    <t>MONTAGEM E DESMONTAGEM DE FÔRMA DE VIGA, ESCORAMENTO COM PONTALETE DE MADEIRA, PÉ-DIREITO SIMPLES, EM MADEIRA SERRADA, 4 UTILIZAÇÕES.</t>
  </si>
  <si>
    <t>Origem da Composição:</t>
  </si>
  <si>
    <t>Descrição detalhada:</t>
  </si>
  <si>
    <t xml:space="preserve">TOTAL DA ETAPA </t>
  </si>
  <si>
    <t>Unidade</t>
  </si>
  <si>
    <t>UNIDADE</t>
  </si>
  <si>
    <t>Tipo</t>
  </si>
  <si>
    <t>Descrição Básica</t>
  </si>
  <si>
    <t>Coeficiente</t>
  </si>
  <si>
    <t>Unit.</t>
  </si>
  <si>
    <t>Material
(R$)</t>
  </si>
  <si>
    <t>Mão de Obra
(R$)</t>
  </si>
  <si>
    <t>Total Material
(R$)</t>
  </si>
  <si>
    <t>Total Mão de Obra (R$)</t>
  </si>
  <si>
    <t>Total
(R$)</t>
  </si>
  <si>
    <t>INSUMO</t>
  </si>
  <si>
    <t>UN</t>
  </si>
  <si>
    <t xml:space="preserve">TOTAL ACUMULADO </t>
  </si>
  <si>
    <t>Observações:</t>
  </si>
  <si>
    <t>M</t>
  </si>
  <si>
    <t xml:space="preserve">  - Data base de referência: </t>
  </si>
  <si>
    <t xml:space="preserve">  - Código:</t>
  </si>
  <si>
    <t>PCI.818.01</t>
  </si>
  <si>
    <t xml:space="preserve">  - Encargos:</t>
  </si>
  <si>
    <t>H</t>
  </si>
  <si>
    <t xml:space="preserve">  - BDI</t>
  </si>
  <si>
    <t xml:space="preserve">  - ART</t>
  </si>
  <si>
    <t xml:space="preserve">  - Nome do Responsável:</t>
  </si>
  <si>
    <t>Total item 3</t>
  </si>
  <si>
    <t>BARRA DE APOIO BANHEIRO NBR 9050 80 CM</t>
  </si>
  <si>
    <t>PAREDES E PAINÉIS</t>
  </si>
  <si>
    <t>4.1</t>
  </si>
  <si>
    <t>ALVENARIA</t>
  </si>
  <si>
    <t>MERCADO</t>
  </si>
  <si>
    <t>BARRA DE APOIO, 80CM</t>
  </si>
  <si>
    <t xml:space="preserve">UN </t>
  </si>
  <si>
    <t>VERGA MOLDADA IN LOCO EM CONCRETO PARA JANELAS COM ATÉ 1,5 M DE VÃO</t>
  </si>
  <si>
    <t>VERGA MOLDADA IN LOCO EM CONCRETO PARA PORTAS COM ATÉ 1,5 M DE VÃO</t>
  </si>
  <si>
    <t>CONTRAVERGA PRÉ-MOLDADA PARA VÃOS DE ATÉ 1,5 M DE COMPRIMENTO</t>
  </si>
  <si>
    <t>Total item 4.1</t>
  </si>
  <si>
    <t>4.2</t>
  </si>
  <si>
    <t>COMPOSIÇÃO</t>
  </si>
  <si>
    <t>FIXAÇÃO UTILIZANDO PARAFUSO E BUCHA DE NYLON, SOMENTE MÃO DE OBRA. AF_10/2</t>
  </si>
  <si>
    <t>BARRA DE APOIO PARA LAVATÓRIO DE CANTO - NBR 9050</t>
  </si>
  <si>
    <t>BARRA DE APOIO PARA LAVATÓRIO DE CANTO</t>
  </si>
  <si>
    <t>Total item 4.2</t>
  </si>
  <si>
    <t>Total item 4</t>
  </si>
  <si>
    <t>TORNEIRA CROMADA DE MESA, 1/2" OU 3/4", PARA LAVATÓRIO, PADRÃO MÉDIO - FORNECIMENTO E INSTALAÇÃO.</t>
  </si>
  <si>
    <t>COBERTURA E PROTEÇÕES</t>
  </si>
  <si>
    <t>95545 SABONETEIRA DE PAREDE EM METAL CROMADO, INCLUSO FIXAÇÃO.</t>
  </si>
  <si>
    <t>DISPENSER PAPEL TOALHA</t>
  </si>
  <si>
    <t>5.1</t>
  </si>
  <si>
    <t>COBERTURAS</t>
  </si>
  <si>
    <t>Unit.
(R$)</t>
  </si>
  <si>
    <t>CUMEEIRA PARA TELHA DE FIBROCIMENTO ONDULADA E = 6 MM, INCLUSO ACESSÓRIOS DE FIXAÇÃO E IÇAMENTO.</t>
  </si>
  <si>
    <t>KG</t>
  </si>
  <si>
    <t>SERVENTE COM ENCARGOS COMPLEMENTARES</t>
  </si>
  <si>
    <t>Total item 5.1</t>
  </si>
  <si>
    <t>5.2</t>
  </si>
  <si>
    <t>IMPERMEABILIZAÇÃO</t>
  </si>
  <si>
    <t>PEDREIRO COM ENCARGOS COMPLEMENTARES</t>
  </si>
  <si>
    <t>98054 TANQUE SÉPTICO CIRCULAR, EM CONCRETO PRÉ-MOLDADO, DIÂMETRO INTERNO = 1,88 M, ALTURA INTERNA = 2,50 M, VOLUME ÚTIL: 6245,8 L</t>
  </si>
  <si>
    <t>TANQUE SÉPTICO CIRCULAR, EM CONCRETO PRÉ-MOLDADO, DIÂMETRO INTERNO = 1,88 M, ALTURA INTERNA = 2,00 M, VOLUME ÚTIL: 4857,7 L</t>
  </si>
  <si>
    <t>Total item 5.2</t>
  </si>
  <si>
    <t>Total item 5</t>
  </si>
  <si>
    <t>CHP</t>
  </si>
  <si>
    <t>REVESTIMENTOS</t>
  </si>
  <si>
    <t>6.1</t>
  </si>
  <si>
    <t>PAREDES INTERNAS</t>
  </si>
  <si>
    <t>RETROESCAVADEIRA SOBRE RODAS COM CARREGADEIRA, TRAÇÃO 4X4, POTÊNCIA LÍQ. 8 CHI 8 HP, CAÇAMBA CARREG. CAP. MÍN. 1 M3, CAÇAMBA RETRO CAP. 0,26 M3, PESO OPERACIONAL MÍN. 6.674 KG, PROFUNDIDADE ESCAVAÇÃO MÁX. 4,37 M - CHI DIURNO.</t>
  </si>
  <si>
    <t>CHI</t>
  </si>
  <si>
    <t>ANEL DE CONCRETO ARMADO, D = 2,00 M, H = 0,50 M</t>
  </si>
  <si>
    <t>LASTRO COM PREPARO DE FUNDO, LARGURA MAIOR OU IGUAL A 1,5 M, COM CAMADA DE BRITA, LANÇAMENTO MECANIZADO, EM LOCAL COM NÍVEL BAIXO DE INTERFERÊNCIA.</t>
  </si>
  <si>
    <t>PEÇA CIRCULAR PRÉ-MOLDADA, VOLUME DE CONCRETO DE 10 A 30 LITROS, TAXA DE FIBRA DE POLIPROPILENO APROXIMADA DE 6 KG/M³.</t>
  </si>
  <si>
    <t>MASSA ÚNICA, PARA RECEBIMENTO DE PINTURA, EM ARGAMASSA TRAÇO 1:2:8, PREPARO MECÂNICO COM BETONEIRA 400L, APLICADA MANUALMENTE EM FACES INTERNAS DE PAREDES, ESPESSURA DE 20MM, COM EXECUÇÃO DE TALISCAS.</t>
  </si>
  <si>
    <t>PEÇA CIRCULAR PRÉ-MOLDADA, VOLUME DE CONCRETO ACIMA DE 100 LITROS, TAXA DE AÇO APROXIMADA DE 30KG/M</t>
  </si>
  <si>
    <t>ARGAMASSA TRAÇO 1:3 (EM VOLUME DE CIMENTO E AREIA MÉDIA ÚMIDA) COM ADIÇÃO DE IMPERMEABILIZANTE, PREPARO MECÂNICO COM BETONEIRA 400 L.</t>
  </si>
  <si>
    <t>Total item 6.1</t>
  </si>
  <si>
    <t>6.2</t>
  </si>
  <si>
    <t>PAREDES EXTERNAS</t>
  </si>
  <si>
    <t>Composição Própria 10</t>
  </si>
  <si>
    <t>98090 FILTRO ANAERÓBIO RETANGULAR, EM ALVENARIA COM BLOCOS DE CONCRETO, DIMENSÕES INTERNAS: 1,4 X 3,0 X 1,67 M, VOLUME ÚTIL: 5040 L</t>
  </si>
  <si>
    <t xml:space="preserve"> FILTRO ANAERÓBIO RETANGULAR, EM ALVENARIA COM BLOCOS DE CONCRETO, DIMENSÕES INTERNAS: 1,4 X 3,0 X 1,40 M, VOLUME ÚTIL: 4000 L</t>
  </si>
  <si>
    <t>CANALETA CONCRETO 19 X 19 X 19 CM (CLASSE C - NBR 6136)</t>
  </si>
  <si>
    <t>PEDRA BRITADA N. 0, OU PEDRISCO (4,8 A 9,5 MM) POSTO PEDREIRA/FORNECEDOR, SEM FRETE</t>
  </si>
  <si>
    <t>RETROESCAVADEIRA SOBRE RODAS COM CARREGADEIRA, TRAÇÃO 4X4, POTÊNCIA LÍQ. 8 CHP 8 HP, CAÇAMBA CARREG. CAP. MÍN. 1 M3, CAÇAMBA RETRO CAP. 0,26 M3, PESO OPERACIONAL MÍN. 6.674 KG, PROFUNDIDADE ESCAVAÇÃO MÁX. 4,37 M - CHP DIURNO.</t>
  </si>
  <si>
    <t>BLOCO CONCRETO ESTRUTURAL 19 X 19 X 39 CM, FBK 4,5 MPA (NBR 6136)</t>
  </si>
  <si>
    <t>ARGAMASSA TRAÇO 1:4 (EM VOLUME DE CIMENTO E AREIA GROSSA ÚMIDA) PARA CHAPISCO CONVENCIONAL, PREPARO MECÂNICO COM BETONEIRA 400 L.</t>
  </si>
  <si>
    <t>Total item 6.2</t>
  </si>
  <si>
    <t>PISOS</t>
  </si>
  <si>
    <t>GRAUTEAMENTO VERTICAL EM ALVENARIA ESTRUTURAL.</t>
  </si>
  <si>
    <t>GRAUTEAMENTO DE CINTA SUPERIOR OU DE VERGA EM ALVENARIA ESTRUTURAL.</t>
  </si>
  <si>
    <t>ARMAÇÃO VERTICAL DE ALVENARIA ESTRUTURAL; DIÂMETRO DE 10,0 MM.</t>
  </si>
  <si>
    <t>ARMAÇÃO DE CINTA DE ALVENARIA ESTRUTURAL; DIÂMETRO DE 10,0 MM.</t>
  </si>
  <si>
    <t>ARMAÇÃO DE LAJE DE UMA ESTRUTURA CONVENCIONAL DE CONCRETO ARMADO EM UMA EDIFICAÇÃO TÉRREA OU SOBRADO UTILIZANDO AÇO CA-60 DE 4,2 MM - MONTAGEM.</t>
  </si>
  <si>
    <t>CONCRETO FCK = 20MPA, TRAÇO 1:2,7:3 (CIMENTO/ AREIA MÉDIA/ BRITA 1) - PREPARO MECÂNICO COM BETONEIRA 600 L.</t>
  </si>
  <si>
    <t>LASTRO DE CONCRETO MAGRO, APLICADO EM PISOS OU RADIERS, ESPESSURA DE 5 CM.</t>
  </si>
  <si>
    <t>PEÇA RETANGULAR PRÉ-MOLDADA, VOLUME DE CONCRETO DE 30 A 100 LITROS, TAXA DE AÇO APROXIMADA DE 30KG/M</t>
  </si>
  <si>
    <t>Composição Própria 11</t>
  </si>
  <si>
    <t>98100 SUMIDOURO RETANGULAR, EM ALVENARIA COM BLOCOS DE CONCRETO, DIMENSÕES INTERNAS: 1,6 X 3,4 X 3,0 M, ÁREA DE INFILTRAÇÃO: 32,9 M²</t>
  </si>
  <si>
    <t>SUMIDOURO RETANGULAR, EM ALVENARIA COM BLOCOS DE CONCRETO, DIMENSÕES INTERNAS: 1,6 X 3,4 X 3,55 M, ÁREA DE INFILTRAÇÃO: 38,44 M²</t>
  </si>
  <si>
    <t>REVESTIMENTO CERÂMICO PARA PISO COM PLACAS TIPO ESMALTADA EXTRA DE DIMENSÕES 35X35 CM APLICADA EM AMBIENTES DE ÁREA MAIOR QUE 10 M2.</t>
  </si>
  <si>
    <t>Total item 6.3</t>
  </si>
  <si>
    <t>TETO</t>
  </si>
  <si>
    <t>CHAPISCO APLICADO NO TETO, COM ROLO PARA TEXTURA ACRÍLICA. ARGAMASSA TRAÇO 1:4 E EMULSÃO POLIMÉRICA (ADESIVO) COM PREPARO EM BETONEIRA 400L.</t>
  </si>
  <si>
    <t>ARGAMASSA TRAÇO 1:3 (EM VOLUME DE CIMENTO E AREIA MÉDIA ÚMIDA), PREPARO MECÂNICO COM BETONEIRA 400 L.</t>
  </si>
  <si>
    <t>Total item 6.4</t>
  </si>
  <si>
    <t>PINTURA</t>
  </si>
  <si>
    <t>APLICAÇÃO DE FUNDO SELADOR ACRÍLICO EM PAREDES, UMA DEMÃO.</t>
  </si>
  <si>
    <t>LASTRO COM PREPARO DE FUNDO, LARGURA MAIOR OU IGUAL A 1,5 M, COM CAMADA DE AREIA, LANÇAMENTO MECANIZADO, EM LOCAL COM NÍVEL BAIXO DE INTERFERÊNCIA.</t>
  </si>
  <si>
    <t>APLICAÇÃO DE FUNDO SELADOR ACRÍLICO EM TETO, UMA DEMÃO.</t>
  </si>
  <si>
    <t>Composição Própria 12</t>
  </si>
  <si>
    <t>86933 BANCADA DE MÁRMORE SINTÉTICO 120 X 60CM, COM CUBA INTEGRADA, INCLUSO SIFÃO TIPO GARRAFA EM PVC, VÁLVULA EM PLÁSTICO CROMADO TIPO AMERICANA E TORNEIRA CROMADA LONGA, DE PAREDE, PADRÃO POPULAR - FORNECIMENTO E INSTALAÇÃO.</t>
  </si>
  <si>
    <t>BANCADA/BANCA/PIA DE ACO INOXIDAVEL (AISI 430) COM 1 CUBA CENTRAL, COM VALVULA, LISA (SEM ESCORREDOR), DE *0,55 X 1,20* M</t>
  </si>
  <si>
    <t>VÁLVULA EM PLÁSTICO CROMADO TIPO AMERICANA 3.1/2" X 1.1/2" SEM ADAPTADOR PARA PIA - FORNECIMENTO E INSTALAÇÃO.</t>
  </si>
  <si>
    <t>SIFÃO DO TIPO GARRAFA/COPO EM PVC 1.1/4 X 1.1/2" - FORNECIMENTO E INSTALAÇÃO.</t>
  </si>
  <si>
    <t>Total item 6.5</t>
  </si>
  <si>
    <t>TORNEIRA CROMADA LONGA, DE PAREDE, 1/2" OU 3/4", PARA PIA DE COZINHA, PADRÃO POPULAR - FORNECIMENTO E INSTALAÇÃO.</t>
  </si>
  <si>
    <t>Total item 6</t>
  </si>
  <si>
    <t>Composição Própria 13</t>
  </si>
  <si>
    <t>INSTALAÇÕES</t>
  </si>
  <si>
    <t>7.1</t>
  </si>
  <si>
    <t>LOUÇAS, METAIS E APARELHOS</t>
  </si>
  <si>
    <t>VASO SANITARIO SIFONADO CONVENCIONAL PARA PCD SEM FURO FRONTAL COM LOUÇA BRANCA SEM ASSENTO, INCLUSO CONJUNTO DE LIGAÇÃO PARA BACIA SANITÁRIA AJUSTÁVEL - FORNECIMENTO E INSTALAÇÃO.</t>
  </si>
  <si>
    <t>LAVATÓRIO LOUÇA BRANCA SUSPENSO, 29,5 X 39CM OU EQUIVALENTE, PADRÃO POPULAR - FORNECIMENTO E INSTALAÇÃO.</t>
  </si>
  <si>
    <t>BARRA DE APOIO 80 CM - NBR 9050</t>
  </si>
  <si>
    <t>Total item 7.1</t>
  </si>
  <si>
    <t>7.2</t>
  </si>
  <si>
    <t>INSTALAÇÕES HIDROSSANITÁRIAS</t>
  </si>
  <si>
    <t>7.2.1</t>
  </si>
  <si>
    <t>Total item 7.2.1</t>
  </si>
  <si>
    <t>7.2.2</t>
  </si>
  <si>
    <t>ESGOTO, PLUVIAL E VENTILAÇÃO</t>
  </si>
  <si>
    <t>CAIXA DE GORDURA SIMPLES, CIRCULAR, EM CONCRETO PRÉ-MOLDADO, DIÂMETRO INTERNO = 0,4 M, ALTURA INTERNA = 0,4 M.</t>
  </si>
  <si>
    <t>Total item 7.2.2</t>
  </si>
  <si>
    <t>Total item 7.2</t>
  </si>
  <si>
    <t>7.3</t>
  </si>
  <si>
    <t>INSTALAÇÕES ELÉTRICAS</t>
  </si>
  <si>
    <t>LUMINÁRIA TIPO SPOT, DE SOBREPOR, COM 2 LÂMPADAS DE 15 W - FORNECIMENTO E INSTALAÇÃO.</t>
  </si>
  <si>
    <t>CABO DE COBRE FLEXÍVEL ISOLADO, 1,5 MM², ANTI-CHAMA 450/750 V, PARA CIRCUITOS TERMINAIS - FORNECIMENTO E INSTALAÇÃO.</t>
  </si>
  <si>
    <t>CABO DE COBRE FLEXÍVEL ISOLADO, 2,5 MM², ANTI-CHAMA 450/750 V, PARA CIRCUITOS TERMINAIS - FORNECIMENTO E INSTALAÇÃO.</t>
  </si>
  <si>
    <t>Total item 7.3</t>
  </si>
  <si>
    <t>Total item 7</t>
  </si>
  <si>
    <t>SERVIÇOS COMPLEMENTARES</t>
  </si>
  <si>
    <t>Total item 8</t>
  </si>
  <si>
    <t>SABONETEIRA PLASTICA TIPO DISPENSER PARA SABONETE LIQUIDO COM RESERVATORIO 800 A 1500 ML, INCLUSO FIXAÇÃO.</t>
  </si>
  <si>
    <t>TUBOS DE PVC, SOLDÁVEL, ÁGUA FRIA, DN 25 MM, INCLUSIVE CONEXÕES, CORTES E FIXAÇÕES, PARA PRÉDIOS.</t>
  </si>
  <si>
    <t>CABO DE COBRE FLEXÍVEL ISOLADO, 10 MM², ANTI-CHAMA 450/750 V, PARA CIRCUITOS TERMINAIS - FORNECIMENTO E INSTALAÇÃO.</t>
  </si>
  <si>
    <t>LOCAÇÃO CONVENCIONAL DE OBRA, UTILIZANDO GABARITO DE TÁBUAS CORRIDAS PONTALETADAS A CADA 2,00M - 2 UTILIZAÇÕES.</t>
  </si>
  <si>
    <t>ETAPA 4</t>
  </si>
  <si>
    <t>ETAPA 5</t>
  </si>
  <si>
    <t>ETAPA 6</t>
  </si>
  <si>
    <t>TRAMA DE MADEIRA COMPOSTA POR TERÇAS PARA TELHADOS DE ATÉ 2 ÁGUAS PARA TELHA ONDULADA DE FIBROCIMENTO, METÁLICA, PLÁSTICA OU TERMOACÚSTICA, INCLUSO TRANSPORTE VERTICAL.</t>
  </si>
  <si>
    <t>TELHAMENTO COM TELHA ONDULADA DE FIBROCIMENTO E = 6 MM, COM RECOBRIMENTO LATERAL DE 1/4 DE ONDA PARA TELHADO COM INCLINAÇÃO MAIOR QUE 10°, COM ATÉ 2 ÁGUAS, INCLUSO IÇAMENTO.</t>
  </si>
  <si>
    <t>CHAPISCO APLICADO EM ALVENARIAS E ESTRUTURAS DE CONCRETO INTERNAS, COM COLHER DE PEDREIRO. ARGAMASSA TRAÇO 1:3 COM PREPARO EM BETONEIRA 400 L., e=5 mm</t>
  </si>
  <si>
    <t>EMBOÇO OU MASSA ÚNICA EM ARGAMASSA TRAÇO 1:2:8, PREPARO MECÂNICO COM BETONEIRA 400 L, APLICADA MANUALMENTE EM PANOS DE FACHADA COM PRESENÇA DE VÃOS, ESPESSURA DE 25 MM.</t>
  </si>
  <si>
    <t>CHAPISCO APLICADO EM ALVENARIA E ESTRUTURAS DE CONCRETO DE FACHADA, COM COLHER DE PEDREIRO. ARGAMASSA TRAÇO 1:3 COM PREPARO EM BETONEIRA 400L.</t>
  </si>
  <si>
    <t>MASSA ÚNICA, PARA RECEBIMENTO DE PINTURA, EM ARGAMASSA TRAÇO 1:2:8, PREPARO MANUAL, APLICADA MANUALMENTE EM TETO, ESPESSURA DE 10MM, COM EXECUÇÃO DE TALISCAS.</t>
  </si>
  <si>
    <t>APLICAÇÃO MANUAL DE TINTA ACRÍLICA EM PAREDE INTERNA, DUAS DEMÃOS.</t>
  </si>
  <si>
    <t>BANCADA/BANCA/PIA DE ACO INOXIDAVEL COM 1 CUBA CENTRAL, COM VALVULA, LISA (SEM ESCORREDOR), DE *0,55 X 1,20* M.</t>
  </si>
  <si>
    <t>DISPENSER PAPEL TOALHA.</t>
  </si>
  <si>
    <t>LUMINÁRIA TIPO CALHA, DE SOBREPOR, COM 2 LÂMPADAS TUBULARES DE 36 W - FORNECIMENTO E INSTALAÇÃO.</t>
  </si>
  <si>
    <t>COBERTURAS E PROTEÇÕES</t>
  </si>
  <si>
    <t>REVESTIMENTO</t>
  </si>
  <si>
    <t>JANELA DE ALUMÍNIO MAXIM-AR, FIXAÇÃO COM PARAFUSO SOBRE CONTRAMARCO (EXCLUSIVE CONTRAMARCO), COM VIDROS, PADRONIZADA.</t>
  </si>
  <si>
    <t>KIT CAVALETE PARA MEDIÇÃO DE ÁGUA - ENTRADA PRINCIPAL, EM PVC SOLDÁVEL DN 25 (¾") FORNECIMENTO E INSTALAÇÃO (EXCLUSIVE HIDRÔMETRO).</t>
  </si>
  <si>
    <t>REATERRO MANUAL DE VALAS COM COMPACTAÇÃO MECANIZADA.</t>
  </si>
  <si>
    <t>CABO DE COBRE FLEXÍVEL ISOLADO, 6 MM², ANTI-CHAMA 450/750 V, PARA CIRCUITOS TERMINAIS - FORNECIMENTO E INSTALAÇÃO.</t>
  </si>
  <si>
    <t>Composição Própria 14</t>
  </si>
  <si>
    <t>Composição Própria 15</t>
  </si>
  <si>
    <t>Composição Própria 16</t>
  </si>
  <si>
    <t>PAPELEIRA PLASTICA TIPO DISPENSER PARA PAPEL HIGIENICO ROLAO</t>
  </si>
  <si>
    <t>PAPELEIRA PLASTICA TIPO DISPENSER PARA PAPEL HIGIENICO ROLAO.</t>
  </si>
  <si>
    <t>UM</t>
  </si>
  <si>
    <t>Endereço: RUA FLORES DA CUNHA, 245 - TRIUNFO</t>
  </si>
  <si>
    <t>DISJUNTOR MONOPOLAR TIPO DIN, CORRENTE NOMINAL DE 50A - FORNECIMENTO E INSTALAÇÃO.</t>
  </si>
  <si>
    <t>ESPELHO CRISTAL, ESPESSURA 4MM, COM PARAFUSOS DE FIXACAO, SEM MOLDURA.</t>
  </si>
  <si>
    <t>99855 CORRIMÃO SIMPLES, DIÂMETRO EXTERNO = 1 1/2", EM AÇO GALVANIZADO.</t>
  </si>
  <si>
    <t>CORRIMÃO E MONTANTE, DIÂMETRO EXTERNO = 1 1/2", EM AÇO GALVANIZADO.</t>
  </si>
  <si>
    <t>SUPORTE PARA CALHA DE 150 MM EM FERRO GALVANIZADO</t>
  </si>
  <si>
    <t>ELETRODO REVESTIDO AWS - E6013, DIAMETRO IGUAL A 2,50 MM</t>
  </si>
  <si>
    <t>BUCHA DE NYLON SEM ABA S10, COM PARAFUSO DE 6,10 X 65 MM EM ACO ZINCADO COM ROSCA SOBERBA, CABECA CHATA E FENDA PHILLIPS</t>
  </si>
  <si>
    <t>TUBO ACO GALVANIZADO COM COSTURA, CLASSE LEVE, DN 40 MM ( 1 1/2"), E = 3,00 MM, *3,48* KG/M (NBR 5580)</t>
  </si>
  <si>
    <t>AUXILIAR DE SERRALHEIRO COM ENCARGOS COMPLEMENTARES</t>
  </si>
  <si>
    <t>SERRALHEIRO COM ENCARGOS COMPLEMENTARES</t>
  </si>
  <si>
    <t>TUBO ACO GALVANIZADO COM COSTURA, CLASSE LEVE, DN 32 MM ( 1 1/4"), E = 2,65 MM, *2,71* KG/M</t>
  </si>
  <si>
    <t>Composição Própria 17</t>
  </si>
  <si>
    <t>CARPINTEIRO DE FORMAS COM ENCARGOS COMPLEMENTARES</t>
  </si>
  <si>
    <t>M²</t>
  </si>
  <si>
    <t>M³</t>
  </si>
  <si>
    <t>CALHA EM CHAPA DE AÇO GALVANIZADO NÚMERO 24, DESENVOLVIMENTO DE 50 CM, INCLUSO TRANSPORTE VERTICAL.</t>
  </si>
  <si>
    <t>DISJUNTOR MONOPOLAR TIPO DIN, CORRENTE NOMINAL DE 16A - FORNECIMENTO E INSTALAÇÃO.</t>
  </si>
  <si>
    <t>DISJUNTOR MONOPOLAR TIPO DIN, CORRENTE NOMINAL DE 20A - FORNECIMENTO E INSTALAÇÃO.</t>
  </si>
  <si>
    <t>DISJUNTOR MONOPOLAR TIPO DIN, CORRENTE NOMINAL DE 40A - FORNECIMENTO E INSTALAÇÃO.</t>
  </si>
  <si>
    <t>ARMAÇÃO DE BLOCO, VIGA BALDRAME E SAPATA UTILIZANDO AÇO CA-60 DE 5 MM - MONTAGEM.</t>
  </si>
  <si>
    <t>LASTRO COM MATERIAL GRANULAR, APLICAÇÃO EM PISOS OU RADIERS, ESPESSURA DE *5 CM*.</t>
  </si>
  <si>
    <t>1.1</t>
  </si>
  <si>
    <t>1.2</t>
  </si>
  <si>
    <t>1.3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</si>
  <si>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</si>
  <si>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</si>
  <si>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</si>
  <si>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</si>
  <si>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</si>
  <si>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</si>
  <si>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</si>
  <si>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</si>
  <si>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</si>
  <si>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</si>
  <si>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3.1</t>
  </si>
  <si>
    <t>3.2</t>
  </si>
  <si>
    <t>3.3</t>
  </si>
  <si>
    <t>3.4</t>
  </si>
  <si>
    <t>3.5</t>
  </si>
  <si>
    <t>3.6</t>
  </si>
  <si>
    <t>3.7</t>
  </si>
  <si>
    <t>5.1.1</t>
  </si>
  <si>
    <t>5.1.3</t>
  </si>
  <si>
    <t>5.1.4</t>
  </si>
  <si>
    <t>5.1.5</t>
  </si>
  <si>
    <t>5.2.1</t>
  </si>
  <si>
    <t>5.2.2</t>
  </si>
  <si>
    <t>6.1.1</t>
  </si>
  <si>
    <t>6.1.2</t>
  </si>
  <si>
    <t>6.2.1</t>
  </si>
  <si>
    <t>6.2.2</t>
  </si>
  <si>
    <t>6.3.1</t>
  </si>
  <si>
    <t>6.3.2</t>
  </si>
  <si>
    <t>6.3.3</t>
  </si>
  <si>
    <t>6.3.4</t>
  </si>
  <si>
    <t>6.3.5</t>
  </si>
  <si>
    <t>6.5.1</t>
  </si>
  <si>
    <t>6.5.2</t>
  </si>
  <si>
    <t>6.5.3</t>
  </si>
  <si>
    <t>6.5.4</t>
  </si>
  <si>
    <t>6.5.5</t>
  </si>
  <si>
    <t>6.5.6</t>
  </si>
  <si>
    <t>7.1.1</t>
  </si>
  <si>
    <t>7.1.2</t>
  </si>
  <si>
    <t>7.1.3</t>
  </si>
  <si>
    <t>7.1.4</t>
  </si>
  <si>
    <t>Código SINAPI</t>
  </si>
  <si>
    <t>8.1</t>
  </si>
  <si>
    <t>22'''</t>
  </si>
  <si>
    <t>APLICAÇÃO E LIXAMENTO DE MASSA LÁTEX EM TETO, UMA DEMÃO.</t>
  </si>
  <si>
    <t>APLICAÇÃO E LIXAMENTO DE MASSA LÁTEX EM PAREDES, UMA DEMÃO.</t>
  </si>
  <si>
    <t>6.5.7</t>
  </si>
  <si>
    <t>KIT DE PORTA DE MADEIRA PARA PINTURA, SEMI-OCA (LEVE OU MÉDIA), PADRÃO MÉDIO, 90X210CM, ESPESSURA DE 3,5CM, ITENS INCLUSOS: DOBRADIÇAS, MONTAGEM E INSTALAÇÃO DO BATENTE, FECHADURA COM EXECUÇÃO DO FURO - FORNECIMENTO E INSTALAÇÃO.</t>
  </si>
  <si>
    <t>IMPERMEABILIZAÇÃO DE SUPERFÍCIE COM ARGAMASSA POLIMÉRICA / MEMBRANA ACRÍLICA, 3 DEMÃOS.</t>
  </si>
  <si>
    <t>VÁLVULA DE DESCARGA METÁLICA, BASE 1 1/2 ", ACABAMENTO METALICO CROMADO - FORNECIMENTO E INSTALAÇÃO.</t>
  </si>
  <si>
    <t>3.8</t>
  </si>
  <si>
    <t>CONTRAPISO EM ARGAMASSA TRAÇO 1:4 (CIMENTO E AREIA), PREPARO MECÂNICO COM BETONEIRA 400 L, APLICADO EM ÁREAS MOLHADAS SOBRE IMPERMEABILIZAÇÃO, E= 4CM.</t>
  </si>
  <si>
    <t>7.1.5</t>
  </si>
  <si>
    <t>7.1.6</t>
  </si>
  <si>
    <t>7.1.7</t>
  </si>
  <si>
    <t>7.1.8</t>
  </si>
  <si>
    <t>7.1.9</t>
  </si>
  <si>
    <t>7.1.10</t>
  </si>
  <si>
    <t>7.1.11</t>
  </si>
  <si>
    <t>7.3.1</t>
  </si>
  <si>
    <t>7.3.2</t>
  </si>
  <si>
    <t>7.3.3</t>
  </si>
  <si>
    <t>7.3.4</t>
  </si>
  <si>
    <t>7.3.5</t>
  </si>
  <si>
    <t>7.3.6</t>
  </si>
  <si>
    <t>7.3.8</t>
  </si>
  <si>
    <t>7.3.9</t>
  </si>
  <si>
    <t>7.3.11</t>
  </si>
  <si>
    <t>7.3.13</t>
  </si>
  <si>
    <t>7.2.2.1</t>
  </si>
  <si>
    <t>7.2.2.2</t>
  </si>
  <si>
    <t>7.2.2.3</t>
  </si>
  <si>
    <t>7.2.2.4</t>
  </si>
  <si>
    <t>7.2.2.5</t>
  </si>
  <si>
    <t>7.2.2.6</t>
  </si>
  <si>
    <t>7.2.2.7</t>
  </si>
  <si>
    <t>7.2.2.8</t>
  </si>
  <si>
    <t>7.2.2.9</t>
  </si>
  <si>
    <t>7.2.2.10</t>
  </si>
  <si>
    <t>7.2.2.11</t>
  </si>
  <si>
    <t>7.2.1.1</t>
  </si>
  <si>
    <t>7.2.1.2</t>
  </si>
  <si>
    <t>7.2.1.3</t>
  </si>
  <si>
    <t>5.1.6</t>
  </si>
  <si>
    <t>6.3</t>
  </si>
  <si>
    <t>6.4</t>
  </si>
  <si>
    <t>6.4.1</t>
  </si>
  <si>
    <t>6.4.2</t>
  </si>
  <si>
    <t>6.5</t>
  </si>
  <si>
    <t>CR</t>
  </si>
  <si>
    <t>4.2.1</t>
  </si>
  <si>
    <t>4.2.2</t>
  </si>
  <si>
    <t>4.2.4</t>
  </si>
  <si>
    <t>4.2.5</t>
  </si>
  <si>
    <t>4.2.6</t>
  </si>
  <si>
    <t>4.1.2</t>
  </si>
  <si>
    <t>4.1.3</t>
  </si>
  <si>
    <t>4.1.4</t>
  </si>
  <si>
    <t>4.1.5</t>
  </si>
  <si>
    <t>6.5.8</t>
  </si>
  <si>
    <t>6.5.9</t>
  </si>
  <si>
    <t xml:space="preserve">ESTACA ESCAVADA MECANICAMENTE, SEM FLUIDO ESTABILIZANTE, COM 40 CM DE DIÂMETRO, CONCRETO LANÇADO POR CAMINHÃO BETONEIRA </t>
  </si>
  <si>
    <t xml:space="preserve">MONTAGEM DE ARMADURA DE ESTACAS, DIÂMETRO = 16,0 MM. </t>
  </si>
  <si>
    <t xml:space="preserve"> ALVENARIA DE EMBASAMENTO COM BLOCO ESTRUTURAL DE CERÂMICA, DE 14X19X29CM OU GRÊS E ARGAMASSA DE ASSENTAMENTO COM PREPARO EM BETONEIRA. AF_05/2020</t>
  </si>
  <si>
    <t xml:space="preserve">ARMAÇÃO DE PILAR OU VIGA DE ESTRUTURA CONVENCIONAL DE CONCRETO ARMADO UTILIZANDO AÇO CA-50 DE 10,0 MM - MONTAGEM. AF_06/2022
</t>
  </si>
  <si>
    <t xml:space="preserve">JANELA DE ALUMÍNIO DE CORRER COM 2 FOLHAS PARA VIDROS, COM VIDROS, BATENTE, ACABAMENTO COM ACETATO OU BRILHANTE E FERRAGENS. EXCLUSIVE ALIZAR E CONTRAMARCO. FORNECIMENTO E INSTALAÇÃO. AF_12/2019
</t>
  </si>
  <si>
    <t xml:space="preserve">CONTRAMARCO DE ALUMÍNIO, FIXAÇÃO COM PARAFUSO - FORNECIMENTO E INSTALAÇÃO. AF_12/2019
</t>
  </si>
  <si>
    <t xml:space="preserve">KIT DE PORTA DE MADEIRA PARA PINTURA, SEMI-OCA (LEVE OU MÉDIA), PADRÃO MÉDIO, 80X210CM, ESPESSURA DE 3,5CM, ITENS INCLUSOS: DOBRADIÇAS, MONTAGEM E INSTALAÇÃO DO BATENTE, FECHADURA COM EXECUÇÃO DO FURO - FORNECIMENTO E INSTALAÇÃO. AF_12/2019
</t>
  </si>
  <si>
    <t xml:space="preserve">FABRICAÇÃO E INSTALAÇÃO DE TESOURA INTEIRA EM MADEIRA NÃO APARELHADA, VÃO DE 11 M, PARA TELHA ONDULADA DE FIBROCIMENTO, METÁLICA, PLÁSTICA OU TERMOACÚSTICA, INCLUSO IÇAMENTO. AF_07/2019
</t>
  </si>
  <si>
    <t xml:space="preserve">VASO SANITARIO SIFONADO CONVENCIONAL COM LOUÇA BRANCA, INCLUSO CONJUNTO DE LIGAÇÃO PARA BACIA SANITÁRIA AJUSTÁVEL - FORNECIMENTO E INSTALAÇÃO. </t>
  </si>
  <si>
    <t>ESCAVAÇÃO MANUAL DE VALA PARA VIGA BALDRAME E PEDRA GRÊS COM PREVISÃO DE FÔRMA.</t>
  </si>
  <si>
    <t>APLICAÇÃO MANUAL DE TINTA LÁTEX ACRÍLICA EM PAREDE EXTERNAS, DUAS DEMÃOS.</t>
  </si>
  <si>
    <t>BARRA DE APOIO PARA LAVATÓRIO - NBR 9050</t>
  </si>
  <si>
    <t>TANQUE SÉPTICO CIRCULAR, EM CONCRETO PRÉ-MOLDADO, DIÂMETRO INTERNO = 1,88 M, ALTURA INTERNA = 1,60 M, VOLUME ÚTIL: 4440 L</t>
  </si>
  <si>
    <t>FILTRO ANAERÓBIO CIRCULAR, EM CONCRETO PRÉ MOLDADO, DIÂMETRO INTERNO 2,0M, ALTURA INTERNA 1,30M, VOLUME ÚTIL: 4000 L</t>
  </si>
  <si>
    <t xml:space="preserve">COMPOSIÇÃO PARAMÉTRICA DE PONTO ELÉTRICO DE ILUMINAÇÃO, COM INTERRUPTOR SIMPLES, EM EDIFÍCIO RESIDENCIAL COM ELETRODUTO EMBUTIDO EM RASGOS NAS PAREDES, INCLUSO TOMADA, ELETRODUTO, CABO, RASGO E CHUMBAMENTO (SEM LUMINÁRIA E LÂMPADA). AF_11/2022
</t>
  </si>
  <si>
    <t>104473 COMPOSIÇÃO PARAMÉTRICA DE PONTO ELÉTRICO DE ILUMINAÇÃO, COM INTERRUPTOR SIMPLES, EM EDIFÍCIO RESIDENCIAL COM ELETRODUTO EMBUTIDO EM RASGOS NAS PAREDES, INCLUSO TOMADA, ELETRODUTO, CABO, RASGO E CHUMBAMENTO (SEM LUMINÁRIA E LÂMPADA). AF_11/2022</t>
  </si>
  <si>
    <t>COMPOSIÇÃO PARAMÉTRICA DE PONTO ELÉTRICO DE ILUMINAÇÃO, COM INTERRUPTOR DUPLO, COM ELETRODUTO EMBUTIDO EM RASGOS NAS PAREDES, INCLUSO TOMADA, ELETRODUTO, CABO, RASGO E CHUMBAMENTO (SEM LUMINÁRIA E LÂMPADA).</t>
  </si>
  <si>
    <t>RASGO EM ALVENARIA PARA ELETRODUTOS COM DIAMETROS MENORES OU IGUAIS A 40 M M</t>
  </si>
  <si>
    <t>QUEBRA EM ALVENARIA PARA INSTALAÇÃO DE CAIXA DE TOMADA (4X4 OU 4X2).</t>
  </si>
  <si>
    <t>CHUMBAMENTO LINEAR EM ALVENARIA PARA RAMAIS/DISTRIBUIÇÃO COM DIÂMETROS MENORES OU IGUAIS A 40 MM.</t>
  </si>
  <si>
    <t>ELETRODUTO FLEXÍVEL CORRUGADO REFORÇADO, PVC, DN 25 MM (3/4"), PARA CIRCUITOS TERMINAIS, INSTALADO EM LAJE - FORNECIMENTO E INSTALAÇÃO.</t>
  </si>
  <si>
    <t xml:space="preserve">ELETRODUTO FLEXÍVEL CORRUGADO REFORÇADO, PVC, DN 25 MM (3/4"), PARA CIRCUI TOS TERMINAIS, INSTALADO EM PAREDE - FORNECIMENTO E INSTALAÇÃO. AF_12/2015
</t>
  </si>
  <si>
    <t>CABO DE COBRE FLEXÍVEL ISOLADO, 1,5 MM², ANTI-CHAMA 450/750 V, PARA CIRCUI TOS TERMINAIS - FORNECIMENTO E INSTALAÇÃO. AF_12/2015</t>
  </si>
  <si>
    <t xml:space="preserve">CABO DE COBRE FLEXÍVEL ISOLADO, 2,5 MM², ANTI-CHAMA 450/750 V, PARA CIRCUITOS TERMINAIS - FORNECIMENTO E INSTALAÇÃO. AF_12/2015
</t>
  </si>
  <si>
    <t>CAIXA OCTOGONAL 3" X 3", PVC, INSTALADA EM LAJE - FORNECIMENTO E INSTALAÇÃO. AF_12/2015</t>
  </si>
  <si>
    <t xml:space="preserve">CAIXA RETANGULAR 4" X 2" MÉDIA (1,30 M DO PISO), PVC, INSTALADA EM PAREDE - FORNECIMENTO E INSTALAÇÃO. AF_12/2015
</t>
  </si>
  <si>
    <t xml:space="preserve"> INTERRUPTOR SIMPLES (2 MÓDULOS), 10A/250V, INCLUINDO SUPORTE E PLACA - FORNECIMENTO E INSTALAÇÃO. AF_12/2015
</t>
  </si>
  <si>
    <t xml:space="preserve">COMPOSIÇÃO PARAMÉTRICA DE PONTO ELÉTRICO DE ILUMINAÇÃO, COM INTERRUPTOR DUPLO, COM ELETRODUTO EMBUTIDO EM RASGOS NAS PAREDES, INCLUSO TOMADA, ELETRODUTO, CABO, RASGO E CHUMBAMENTO (SEM LUMINÁRIA E LÂMPADA).
</t>
  </si>
  <si>
    <t>DISJUNTOR MONOPOLAR TIPO DIN, CORRENTE NOMINAL DE 32A - FORNECIMENTO E INSTALAÇÃO. AF_10/2020</t>
  </si>
  <si>
    <t>COMPOSIÇÃO PARAMÉTRICA DE PONTO ELÉTRICO DE TOMADA DE USO GERAL 2P+T (10A/250V) EM EDIFÍCIO RESIDENCIAL COM ELETRODUTO EMBUTIDO EM RASGOS NAS PAREDES, INCLUSO TOMADA BAIXA DE EMBUTIR (1 MÓDULO), ELETRODUTO, CABO, RASGO, QUEBRA E CHUMBAMENTO.</t>
  </si>
  <si>
    <t>TOMADA ALTA DE EMBUTIR (1 MÓDULO), 2P+T 20 A, SEM SUPORTE E SEM PLACA - FORNECIMENTO E INSTALAÇÃO.</t>
  </si>
  <si>
    <t>TOMADA MÉDIA DE EMBUTIR (2 MÓDULOS), 2P+T 10 A, SEM SUPORTE E SEM PLACA - FORNECIMENTO E INSTALAÇÃO</t>
  </si>
  <si>
    <t xml:space="preserve"> QUADRO DE DISTRIBUIÇÃO DE ENERGIA EM CHAPA DE AÇO GALVANIZADO, DE EMBUTIR, COM BARRAMENTO TRIFÁSICO, PARA 30 DISJUNTORES DIN 150A - FORNECIMENTO E INSTALAÇÃO. AF_10/2020</t>
  </si>
  <si>
    <t xml:space="preserve">SERVIÇO DE INSTALAÇÃO DE TUBOS DE PVC, SÉRIE R, ÁGUA PLUVIAL, DN 75 MM (INSTALADO EM RAMAL DE ENCAMINHAMENTO, OU CONDUTORES VERTICAIS), INCLUSIVE CONEXÕES, CORTE E FIXAÇÕES, PARA PRÉDIOS. </t>
  </si>
  <si>
    <t>SERVIÇO DE INSTALAÇÃO DE TUBO DE PVC, SÉRIE NORMAL, ESGOTO PREDIAL, DN 50 MM (INSTALADO EM RAMAL DE DESCARGA OU RAMAL DE ESGOTO SANITÁRIO), INCLUSIVE CONEXÕES, CORTES E FIXAÇÕES PARA, PRÉDIOS.</t>
  </si>
  <si>
    <t xml:space="preserve">SERVIÇO DE INST. TUBO PVC, SÉRIE N, ESGOTO PREDIAL, 100 MM (INST. RAMAL DESCARGA, RAMAL DE ESG. SANIT., PRUMADA ESG. SANIT., VENTILAÇÃO OU SUB-COLETOR AÉREO), INCL. CONEXÕES E CORTES, FIXAÇÕES, P/ PRÉDIOS. </t>
  </si>
  <si>
    <t xml:space="preserve"> SERVIÇO DE INSTALAÇÃO DE TUBOS DE PVC, SÉRIE R, ÁGUA PLUVIAL, DN 100 MM (INSTALADO EM RAMAL DE ENCAMINHAMENTO, OU CONDUTORES VERTICAIS), INCLUSIVE CONEXÕES, CORTES E FIXAÇÕES, PARA PRÉDIOS.</t>
  </si>
  <si>
    <t xml:space="preserve">ESCADA EM CONCRETO ARMADO MOLDADO IN LOCO, FCK 20 MPA, COM 2 LANCES EM "U" E LAJE PLANA, FÔRMA EM CHAPA DE MADEIRA COMPENSADA RESINADA. </t>
  </si>
  <si>
    <t xml:space="preserve">FABRICAÇÃO DE FÔRMA PARA ESCADAS, COM 2 LANCES EM "U" E LAJE PLANA, EM MADEIRA SERRADA, E=25 MM. AF_11/2020
</t>
  </si>
  <si>
    <t xml:space="preserve">PISO EM GRANITO APLICADO EM AMBIENTES INTERNOS. AF_09/2020 </t>
  </si>
  <si>
    <t xml:space="preserve">CONCRETAGEM DE VIGAS E LAJES, FCK=25 MPA, PARA LAJES PREMOLDADAS COM USO DE BOMBA - LANÇAMENTO, ADENSAMENTO E ACABAMENTO. AF_02/2022
</t>
  </si>
  <si>
    <t xml:space="preserve">ARMAÇÃO DE PILAR OU VIGA DE ESTRUTURA CONVENCIONAL DE CONCRETO ARMADO UTILIZANDO AÇO CA-50 DE 6,3 MM - MONTAGEM. AF_06/2022
</t>
  </si>
  <si>
    <t xml:space="preserve">PORTA EM ALUMÍNIO DE ABRIR TIPO VENEZIANA COM GUARNIÇÃO, FIXAÇÃO COM PARAFUSOS - FORNECIMENTO E INSTALAÇÃO. AF_12/2019
</t>
  </si>
  <si>
    <t xml:space="preserve">PORTA PIVOTANTE DE VIDRO TEMPERADO, 2 FOLHAS DE 90X210 CM, ESPESSURA DE 10 MM, INCLUSIVE ACESSÓRIOS. AF_01/2021
</t>
  </si>
  <si>
    <t xml:space="preserve">INSTALAÇÃO DE VIDRO LISO INCOLOR, E = 6 MM, EM ESQUADRIA DE ALUMÍNIO OU PVC, FIXADO COM BAGUETE. AF_01/2021_PS
</t>
  </si>
  <si>
    <t xml:space="preserve">GRADIL EM ALUMÍNIO (PARA AS PORTAS EM VIDRO TEMPERADO), FORMADO POR TUBOS DE 3/4". AF_04/2019
</t>
  </si>
  <si>
    <t>PLATAFORMA HIDRÁULICA DE ELEVAÇÃO VERTICAL, TIPO ENCLAUSURADA EM ESTRUTURA METÁLICA, CAPACIDADE 275KG, VELOCIDADE 6M/MIN, ENTRADA UNILATERAL, 02 PARADAS, ACIONAMENTO HIDRÁLICO COM CENTRAL MOTRIZ DE BAIXO RUÍDO, TENSÃO DE CONTROLE 12Vcc, NORMA ATENDIDA ISO 9386, PORTA 900X2000MM - COM ABERTURA MANUAL E RETORNO AUTOMÁTICO.</t>
  </si>
  <si>
    <t>MONTAGEM E DESMONTAGEM DE FÔRMA DE PILARES RETANGULARES E ESTRUTURAS SIMILARES, PÉ-DIREITO SIMPLES, EM MADEIRA SERRADA, 4 UTILIZAÇÕES</t>
  </si>
  <si>
    <t xml:space="preserve"> LAJE PRÉ-MOLDADA UNIDIRECIONAL, BIAPOIADA, PARA PISO, ENCHIMENTO EM CERÂMICA, VIGOTA CONVENCIONAL, ALTURA TOTAL DA LAJE (ENCHIMENTO+CAPA) = (8+4). </t>
  </si>
  <si>
    <t xml:space="preserve">CONCRETAGEM DE PILARES, FCK = 25 MPA, COM USO DE BOMBA - LANÇAMENTO, ADENSAMENTO E ACABAMENTO. AF_02/2022
</t>
  </si>
  <si>
    <t xml:space="preserve"> LIMPEZA MECANIZADA DE CAMADA VEGETAL, VEGETAÇÃO E PEQUENAS ÁRVORES (DIÂMETRO DE TRONCO MENOR QUE 0,20 M), COM TRATOR DE ESTEIRAS.AF_05/2018
</t>
  </si>
  <si>
    <t>LASTRO COM MATERIAL GRANULAR (PEDRA BRITADA N.2), APLICADO EM PISOS OU LAJES SOBRE SOLO, ESPESSURA DE *10 CM*. AF_08/2017</t>
  </si>
  <si>
    <t>PLACA DE OBRA EM CHAPA DE AÇO GALVANIZADO 2,0 x 1,125M</t>
  </si>
  <si>
    <t>SARRAFO DE MADEIRA NAO APARELHADA *2,5 X 7* CM, MACARANDUBA, ANGELIM OU EQUIVALENTE DA REGIAO</t>
  </si>
  <si>
    <t>PONTALETE DE MADEIRA NAO APARELHADA *7,5 X 7,5* CM (3 X 3 ") PINUS, MISTA OU EQUIVALENTE DA REGIAO</t>
  </si>
  <si>
    <t>PLACA DE OBRA (PARA CONSTRUCAO CIVIL) EM CHAPA GALVANIZADA *N. 22*, ADESIVADA, DE *2,0 X 1,125* M</t>
  </si>
  <si>
    <t>PREGO DE ACO POLIDO COM CABECA 18 X 30 (2 3/4 X 10)</t>
  </si>
  <si>
    <t>CONCRETO MAGRO PARA LASTRO, TRAÇO 1:4,5:4,5 (CIMENTO/ AREIA MÉDIA/ BRITA 1)  - PREPARO MECÂNICO COM BETONEIRA 400 L. AF_07/2016</t>
  </si>
  <si>
    <t xml:space="preserve">ALVENARIA DE VEDAÇÃO DE BLOCOS CERÂMICOS FURADOS NA HORIZONTAL DE 14X9X19CM (ESPESSURA 14 CM, BLOCO DEITADO) E ARGAMASSA DE ASSENTAMENTO COM PREPARO EM BETONEIRA. AF_12/2021
</t>
  </si>
  <si>
    <t xml:space="preserve"> IMPERMEABILIZAÇÃO DE SUPERFÍCIE COM EMULSÃO ASFÁLTICA, 2 DEMÃOS AF_06/2018 </t>
  </si>
  <si>
    <t xml:space="preserve"> REVESTIMENTO CERÂMICO PARA PAREDES INTERNAS COM PLACAS TIPO ESMALTADA EXTRA DE DIMENSÕES 20X20 CM APLICADAS NA ALTURA INTEIRA DAS PAREDES.  AF_02/20</t>
  </si>
  <si>
    <t xml:space="preserve">PINTURA COM TINTA ALQUÍDICA DE FUNDO (TIPO ZARCÃO) PULVERIZADA SOBRE PERFIL METÁLICO EXECUTADO EM FÁBRICA (POR DEMÃO). AF_01/2020_PE
</t>
  </si>
  <si>
    <t xml:space="preserve">PINTURA TINTA DE ACABAMENTO (PIGMENTADA) ESMALTE SINTÉTICO BRILHANTE EM MADEIRA, 1 DEMÃO. AF_01/2021
</t>
  </si>
  <si>
    <t>PINTURA COM TINTA ALQUÍDICA DE ACABAMENTO (ESMALTE SINTÉTICO BRILHANTE) PULVERIZADA SOBRE PERFIL METÁLICO EXECUTADO EM FÁBRICA  (POR DEMÃO).</t>
  </si>
  <si>
    <t>11186 ESPELHO CRISTAL - ESP. 4MM</t>
  </si>
  <si>
    <t>ESPELHO CRISTAL - ESP. 4MM</t>
  </si>
  <si>
    <t xml:space="preserve"> CAIXA D´ÁGUA EM POLIETILENO, 1000 LITROS - FORNECIMENTO E INSTALAÇÃO. AF_06/2021
</t>
  </si>
  <si>
    <t xml:space="preserve">CAIXA DE CONCRETO ARMADO PRE-MOLDADO, COM FUNDO E TAMPA, DIMENSOES DE 0,60 X 0,60 X 0,50 M </t>
  </si>
  <si>
    <t xml:space="preserve">00041629 CAIXA DE CONCRETO ARMADO PRE-MOLDADO, COM FUNDO E TAMPA, DIMENSOES DE 0,60 X 0,60 X 0,50 M </t>
  </si>
  <si>
    <t>RALO SIFONADO CILINDRICO, PVC, 100X40MM, COM GRELHA REDONDA BRANCA</t>
  </si>
  <si>
    <t>11741 RALO SIFONADO CILINDRICO, PVC, 100X40MM, COM GRELHA REDONDA BRANCA</t>
  </si>
  <si>
    <t xml:space="preserve">LUMINARIA LED PLAFON REDONDO DE SOBREPOR BIVOLT 12/13W, D=17CM
</t>
  </si>
  <si>
    <t>LUMINARIA LED PLAFON REDONDO DE SOBREPOR BIVOLT 12/13W, D=17CM</t>
  </si>
  <si>
    <t>39385 LUMINARIA LED PLAFON REDONDO DE SOBREPOR BIVOLT 12/13W, D=17CM</t>
  </si>
  <si>
    <t xml:space="preserve">LUMINARIA LED PLAFON REDONDO DE SOBREPOR BIVOLT 12/13W, D=17CM </t>
  </si>
  <si>
    <t>RETROESCAVADEIRA SOBRE RODAS COM CARREGADEIRA, TRAÇÃO 4X4, POTÊNCIA LÍQ. 8  8 HP, CAÇAMBA CARREG. CAP. MÍN. 1 M3, CAÇAMBA RETRO CAP. 0,26 M3, PESO OPERACIONAL MÍN. 6.674 KG, PROFUNDIDADE ESCAVAÇÃO MÁX. 4,37 M - CHP DIURNO.</t>
  </si>
  <si>
    <t xml:space="preserve">ASSENTAMENTO DE POSTE DE CONCRETO COM COMPRIMENTO NOMINAL DE 10 M, CARGA NOMINAL MENOR OU IGUAL A 1000 DAN, ENGASTAMENTO SIMPLES COM 1,6 M DE SOLO (NÃO INCLUI FORNECIMENTO). AF_11/2019
</t>
  </si>
  <si>
    <t xml:space="preserve">POSTE DE CONCRETO ARMADO DE SECAO CIRCULAR, EXTENSAO DE 10,00 M, RESISTENCIA DE 150 A 200 DAN, TIPO C-14 </t>
  </si>
  <si>
    <t xml:space="preserve"> 99803   LIMPEZA DE PISO CERÂMICO OU PORCELANATO COM PANO ÚMIDO. AF_04/2019  (LIMPEZA FINAL DA OBRA)</t>
  </si>
  <si>
    <t>Relatório Global - Data: 11/04/2023</t>
  </si>
  <si>
    <t>ORÇAMENTO PARA IMPLANTAÇÃO DO CENTRO DE ATENÇÃO PSICO SOCIAL DE TRIUNFO - CAPS</t>
  </si>
  <si>
    <t>SINAPI 14/03/2023</t>
  </si>
  <si>
    <t>TRIUNFO, 11 DE ABRIL DE 2023</t>
  </si>
  <si>
    <t>Composição Própria 01</t>
  </si>
  <si>
    <t>CP01</t>
  </si>
  <si>
    <t>CP03</t>
  </si>
  <si>
    <t>CP02</t>
  </si>
  <si>
    <t>CP04</t>
  </si>
  <si>
    <t>Composição Própria 04</t>
  </si>
  <si>
    <t>CP05</t>
  </si>
  <si>
    <t>Composição Própria 05</t>
  </si>
  <si>
    <t>CP06</t>
  </si>
  <si>
    <t>Composição Própria 06</t>
  </si>
  <si>
    <t>CP07</t>
  </si>
  <si>
    <t>Composição Própria 07</t>
  </si>
  <si>
    <t>CP08</t>
  </si>
  <si>
    <t>CP09</t>
  </si>
  <si>
    <t>Composição Própria 08</t>
  </si>
  <si>
    <t>Composição Própria 09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</si>
  <si>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</si>
  <si>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</si>
  <si>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</si>
  <si>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</si>
  <si>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</si>
  <si>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</si>
  <si>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</si>
  <si>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</si>
  <si>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</si>
  <si>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Composição Própria 19</t>
  </si>
  <si>
    <t xml:space="preserve">EXECUÇÃO DE PASSEIO (CALÇADA) OU PISO DE CONCRETO COM CONCRETO MOLDADO IN LOCO, FEITO EM OBRA, ACABAMENTO CONVENCIONAL, NÃO ARMADO. AF_08/2022
</t>
  </si>
  <si>
    <t>2.11</t>
  </si>
  <si>
    <t>3.9</t>
  </si>
  <si>
    <t>4.1.1</t>
  </si>
  <si>
    <t>4.2.3</t>
  </si>
  <si>
    <t>4.2.7</t>
  </si>
  <si>
    <t>4.2.8</t>
  </si>
  <si>
    <t>4.2.9</t>
  </si>
  <si>
    <t>4.2.10</t>
  </si>
  <si>
    <t>4.2.11</t>
  </si>
  <si>
    <t>5.1.2</t>
  </si>
  <si>
    <t>6.1.3</t>
  </si>
  <si>
    <t>6.3.6</t>
  </si>
  <si>
    <t>6.3.7</t>
  </si>
  <si>
    <t>7.1.12</t>
  </si>
  <si>
    <t>7.3.7</t>
  </si>
  <si>
    <t>7.3.10</t>
  </si>
  <si>
    <t>7.3.12</t>
  </si>
  <si>
    <t>7.3.14</t>
  </si>
  <si>
    <t>REQUADRO METÁLICO EM TUBO GALVANIZADO 25X25MM COM PINTURA</t>
  </si>
  <si>
    <t>REVESTIMENTO DE ACM 3 MM, PINTURA POLIESTER, ESTRUTURA DE PRUMADA EM ALUMÍNIO, FIXAÇÃO POR FITA ESPECÍFICA PARA ACM E PRIMER, ANCORAGEM DE PARAFUSOS E PARABOLTS.</t>
  </si>
  <si>
    <t>COTAÇÃO</t>
  </si>
  <si>
    <t>Composição Própria 02</t>
  </si>
  <si>
    <t>FACHADA / COBERTURA - ESTRUTURA METÁLICA GALVANIZADA, REVESTIDA POR PLACAS DE ACM (ALUMÍNIO COMPOSTO) RECORTADO, E=0,3MM, COBERTURA COM TELHA ONDULADA, CALHA E TUBO DE QUEDA, NA COR A DEFINIR.</t>
  </si>
  <si>
    <t xml:space="preserve">FACHADA / COBERTURA - ESTRUTURA METÁLICA GALVANIZADA, REVESTIDA POR PLACAS DE ACM (ALUMÍNIO COMPOSTO) RECORTADO, E=0,3MM, COBERTURA COM TELHA ONDULADA, CALHA E TUBO DE QUEDA, NA COR A DEFINIR.
</t>
  </si>
  <si>
    <t xml:space="preserve"> 101512   ENTRADA DE ENERGIA ELÉTRICA, AÉREA, TRIFÁSICA, COM CAIXA DE EMBUTIR, CABO DE 35 MM2 E DISJUNTOR DIN 50A (NÃO INCLUSO O POSTE DE CONCRETO). AF_07/202
 </t>
  </si>
  <si>
    <t xml:space="preserve"> ENTRADA DE ENERGIA ELÉTRICA, AÉREA, TRIFÁSICA, COM CAIXA DE SOBREPOR, CABO DE 35 MM2 E DISJUNTOR DIN 100A (INCLUSO O POSTE DE CONCRETO)</t>
  </si>
  <si>
    <t xml:space="preserve">CAIXA INTERNA/EXTERNA DE MEDICAO PARA 1 MEDIDOR TRIFASICO, COM VISOR, EM CHAPA DE ACO 18 USG (PADRAO DA CONCESSIONARIA LOCAL)
</t>
  </si>
  <si>
    <t xml:space="preserve">  1094 ARMACAO VERTICAL COM HASTE E CONTRA-PINO, EM CHAPA DE ACO GALVANIZADO 3/16", COM 1 ESTRIBO, SEM ISOLADOR</t>
  </si>
  <si>
    <t xml:space="preserve">ISOLADOR DE PORCELANA, TIPO ROLDANA, DIMENSOES DE *72* X *72* MM, PARA USO EM BAIXA TENSAO
</t>
  </si>
  <si>
    <t>PARAFUSO DE FERRO POLIDO, SEXTAVADO, COM ROSCA PARCIAL, DIAMETRO 5/8", COMPRIMENTO 6", COM PORCA E ARRUELA DE PRESSAO MEDIA</t>
  </si>
  <si>
    <t>ARRUELA LISA, REDONDA, DE LATAO POLIDO, DIAMETRO NOMINAL 5/8", DIAMETRO EXTERNO = 34 MM, DIAMETRO DO FURO = 17 MM, ESPESSURA = *2,5* MM</t>
  </si>
  <si>
    <t>CONECTOR METALICO TIPO PARAFUSO FENDIDO (SPLIT BOLT), PARA CABOS ATE 95 MM</t>
  </si>
  <si>
    <t xml:space="preserve">FITA METALICA PERFURADA, L = *18* MM, ROLO DE 30 M, CARGA RECOMENDADA = *30* KGF
</t>
  </si>
  <si>
    <t xml:space="preserve">CAIXA DE INSPECAO PARA ATERRAMENTO E PARA RAIOS, EM POLIPROPILENO,  DIAMETRO = 300 MM X ALTURA = 400 MM
</t>
  </si>
  <si>
    <t>VERGALHAO ZINCADO ROSCA TOTAL, 1/4 " (6,3 MM)</t>
  </si>
  <si>
    <t xml:space="preserve">  39997 PORCA ZINCADA, SEXTAVADA, DIAMETRO 1/4"</t>
  </si>
  <si>
    <t>ARGAMASSA TRAÇO 1:1:6 (EM VOLUME DE CIMENTO, CAL E AREIA MÉDIA ÚMIDA) PARA EMBOÇO/MASSA ÚNICA/ASSENTAMENTO DE ALVENARIA DE VEDAÇÃO, PREPARO MANUAL.
                AF_08/2019</t>
  </si>
  <si>
    <t>AUXILIAR DE ELETRICISTA COM ENCARGOS COMPLEMENTARES</t>
  </si>
  <si>
    <t xml:space="preserve">ELETRICISTA COM ENCARGOS COMPLEMENTARES </t>
  </si>
  <si>
    <t xml:space="preserve">ELETRODUTO RÍGIDO ROSCÁVEL, PVC, DN 40 MM (1 1/4"), PARA CIRCUITOS TERMINAIS, INSTALADO EM PAREDE - FORNECIMENTO E INSTALAÇÃO. AF_12/2015
</t>
  </si>
  <si>
    <t>LUVA PARA ELETRODUTO, PVC, ROSCÁVEL, DN 40 MM (1 1/4"), PARA CIRCUITOS TERMINAIS, INSTALADA EM PAREDE - FORNECIMENTO E INSTALAÇÃO. AF_12/2015</t>
  </si>
  <si>
    <t>CURVA 90 GRAUS PARA ELETRODUTO, PVC, ROSCÁVEL, DN 40 MM (1 1/4"), PARA CIRCUITOS TERMINAIS, INSTALADA EM PAREDE - FORNECIMENTO E INSTALAÇÃO. AF_12/2
                015</t>
  </si>
  <si>
    <t xml:space="preserve">CURVA 180 GRAUS PARA ELETRODUTO, PVC, ROSCÁVEL, DN 40 MM (1 1/4"), PARA CIRCUITOS TERMINAIS, INSTALADA EM PAREDE - FORNECIMENTO E INSTALAÇÃO. AF_12/
                2015
</t>
  </si>
  <si>
    <t xml:space="preserve">CABO DE COBRE FLEXÍVEL ISOLADO, 35 MM², ANTI-CHAMA 0,6/1,0 KV, PARA REDE ENTERRADA DE DISTRIBUIÇÃO DE ENERGIA ELÉTRICA - FORNECIMENTO E INSTALAÇÃO.
                AF_12/2021
</t>
  </si>
  <si>
    <t xml:space="preserve">CORDOALHA DE COBRE NU 50 MM², ENTERRADA, SEM ISOLADOR - FORNECIMENTO E INSTALAÇÃO. AF_12/2017
</t>
  </si>
  <si>
    <t>HASTE DE ATERRAMENTO 3/4  PARA SPDA - FORNECIMENTO E INSTALAÇÃO. AF_12/2017.</t>
  </si>
  <si>
    <t xml:space="preserve">ASSENTAMENTO DE POSTE DE CONCRETO COM COMPRIMENTO NOMINAL DE 9 M, CARGA NOMINAL MENOR OU IGUAL A 1000 DAN, ENGASTAMENTO SIMPLES COM 1,5 M DE SOLO (NÃO INCLUI FORNECIMENTO). AF_11/2019
 </t>
  </si>
  <si>
    <t>DISJUNTOR TERMOMAGNETICO TRIPOLAR 125A</t>
  </si>
  <si>
    <t>RUFO / ALGEROZ EXTERNO/INTERNO EM CHAPA DE AÇO GALVANIZADO NÚMERO 26, CORTE DE 33 CM, INCLUSO IÇAMENTO.</t>
  </si>
  <si>
    <t>CRONOGRAMA PARA IMPLANTAÇÃO DO CENTRO DE ATENÇÃO PSICO SOCIAL DE TRIUNFO - CAPS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</si>
</sst>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&quot;\ * #,##0.00_-;\-&quot;R$&quot;\ * #,##0.00_-;_-&quot;R$&quot;\ * &quot;-&quot;??_-;_-@"/>
    <numFmt numFmtId="165" formatCode="&quot;R$&quot;#,##0.00"/>
    <numFmt numFmtId="166" formatCode="&quot;R$&quot;\ #,##0.00"/>
    <numFmt numFmtId="167" formatCode="#,##0.000"/>
    <numFmt numFmtId="168" formatCode="0.000"/>
  </numFmts>
  <fonts count="40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u/>
      <sz val="11"/>
      <color rgb="FF0000FF"/>
      <name val="Arial"/>
      <family val="2"/>
    </font>
    <font>
      <sz val="11"/>
      <color rgb="FF000000"/>
      <name val="Arial"/>
      <family val="2"/>
    </font>
    <font>
      <b/>
      <sz val="11"/>
      <color rgb="FF4D5154"/>
      <name val="Arial"/>
      <family val="2"/>
    </font>
    <font>
      <b/>
      <sz val="11"/>
      <color rgb="FF000000"/>
      <name val="Calibri"/>
      <family val="2"/>
    </font>
    <font>
      <sz val="11"/>
      <color rgb="FF333333"/>
      <name val="Leroy_merlin_sansregula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333333"/>
      <name val="Tahoma"/>
      <family val="2"/>
    </font>
    <font>
      <sz val="11"/>
      <color rgb="FF21293C"/>
      <name val="Arial"/>
      <family val="2"/>
    </font>
    <font>
      <sz val="11"/>
      <color theme="9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DADADA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CCCCCC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0"/>
      </patternFill>
    </fill>
  </fills>
  <borders count="19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 style="thin">
        <color rgb="FF000000"/>
      </top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9" fontId="32" fillId="0" borderId="0" applyFont="0" applyFill="0" applyBorder="0" applyAlignment="0" applyProtection="0"/>
    <xf numFmtId="0" fontId="35" fillId="0" borderId="28"/>
  </cellStyleXfs>
  <cellXfs count="1007">
    <xf numFmtId="0" fontId="0" fillId="0" borderId="0" xfId="0"/>
    <xf numFmtId="0" fontId="1" fillId="3" borderId="4" xfId="0" applyFont="1" applyFill="1" applyBorder="1"/>
    <xf numFmtId="0" fontId="3" fillId="0" borderId="5" xfId="0" applyFont="1" applyBorder="1"/>
    <xf numFmtId="0" fontId="1" fillId="3" borderId="4" xfId="0" applyFont="1" applyFill="1" applyBorder="1" applyAlignment="1">
      <alignment wrapText="1"/>
    </xf>
    <xf numFmtId="0" fontId="5" fillId="0" borderId="0" xfId="0" applyFont="1"/>
    <xf numFmtId="0" fontId="7" fillId="2" borderId="4" xfId="0" applyFont="1" applyFill="1" applyBorder="1"/>
    <xf numFmtId="0" fontId="3" fillId="0" borderId="2" xfId="0" applyFont="1" applyBorder="1" applyAlignment="1">
      <alignment horizontal="center"/>
    </xf>
    <xf numFmtId="2" fontId="6" fillId="0" borderId="0" xfId="0" applyNumberFormat="1" applyFont="1" applyAlignment="1">
      <alignment vertical="center" wrapText="1"/>
    </xf>
    <xf numFmtId="0" fontId="3" fillId="0" borderId="3" xfId="0" applyFont="1" applyBorder="1" applyAlignment="1">
      <alignment horizontal="center"/>
    </xf>
    <xf numFmtId="2" fontId="0" fillId="0" borderId="0" xfId="0" applyNumberFormat="1" applyAlignment="1">
      <alignment vertical="center" wrapText="1"/>
    </xf>
    <xf numFmtId="0" fontId="1" fillId="0" borderId="0" xfId="0" applyFont="1"/>
    <xf numFmtId="0" fontId="9" fillId="2" borderId="4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2" borderId="4" xfId="0" applyFont="1" applyFill="1" applyBorder="1"/>
    <xf numFmtId="0" fontId="13" fillId="2" borderId="4" xfId="0" applyFont="1" applyFill="1" applyBorder="1" applyAlignment="1">
      <alignment horizontal="left"/>
    </xf>
    <xf numFmtId="0" fontId="0" fillId="3" borderId="4" xfId="0" applyFill="1" applyBorder="1"/>
    <xf numFmtId="164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64" fontId="1" fillId="0" borderId="26" xfId="0" applyNumberFormat="1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20" fillId="5" borderId="30" xfId="0" applyFont="1" applyFill="1" applyBorder="1" applyAlignment="1">
      <alignment horizontal="center"/>
    </xf>
    <xf numFmtId="165" fontId="22" fillId="0" borderId="5" xfId="0" applyNumberFormat="1" applyFont="1" applyBorder="1" applyAlignment="1">
      <alignment horizontal="center" vertical="center" shrinkToFit="1"/>
    </xf>
    <xf numFmtId="165" fontId="21" fillId="0" borderId="5" xfId="0" applyNumberFormat="1" applyFont="1" applyBorder="1" applyAlignment="1">
      <alignment horizontal="center" vertical="center"/>
    </xf>
    <xf numFmtId="165" fontId="22" fillId="0" borderId="5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vertical="center"/>
    </xf>
    <xf numFmtId="166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quotePrefix="1" applyFont="1" applyAlignment="1">
      <alignment vertical="center"/>
    </xf>
    <xf numFmtId="14" fontId="21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49" xfId="0" applyFont="1" applyBorder="1" applyAlignment="1">
      <alignment vertical="center"/>
    </xf>
    <xf numFmtId="0" fontId="22" fillId="0" borderId="0" xfId="0" applyFont="1" applyAlignment="1">
      <alignment horizontal="center" vertical="top"/>
    </xf>
    <xf numFmtId="0" fontId="1" fillId="2" borderId="4" xfId="0" applyFont="1" applyFill="1" applyBorder="1" applyAlignment="1">
      <alignment vertical="top" wrapText="1"/>
    </xf>
    <xf numFmtId="164" fontId="6" fillId="2" borderId="5" xfId="0" applyNumberFormat="1" applyFont="1" applyFill="1" applyBorder="1" applyAlignment="1">
      <alignment vertical="top" wrapText="1"/>
    </xf>
    <xf numFmtId="0" fontId="0" fillId="2" borderId="4" xfId="0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3" borderId="4" xfId="0" applyFont="1" applyFill="1" applyBorder="1" applyAlignment="1">
      <alignment vertical="top" wrapText="1"/>
    </xf>
    <xf numFmtId="0" fontId="0" fillId="3" borderId="4" xfId="0" applyFill="1" applyBorder="1" applyAlignment="1">
      <alignment vertical="top"/>
    </xf>
    <xf numFmtId="164" fontId="6" fillId="0" borderId="5" xfId="0" applyNumberFormat="1" applyFont="1" applyBorder="1" applyAlignment="1">
      <alignment vertical="top" wrapText="1"/>
    </xf>
    <xf numFmtId="0" fontId="25" fillId="3" borderId="34" xfId="0" applyFont="1" applyFill="1" applyBorder="1" applyAlignment="1">
      <alignment horizontal="center"/>
    </xf>
    <xf numFmtId="0" fontId="24" fillId="0" borderId="0" xfId="0" applyFont="1"/>
    <xf numFmtId="0" fontId="25" fillId="3" borderId="39" xfId="0" applyFont="1" applyFill="1" applyBorder="1" applyAlignment="1">
      <alignment horizontal="center" vertical="center"/>
    </xf>
    <xf numFmtId="0" fontId="25" fillId="3" borderId="43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textRotation="90"/>
    </xf>
    <xf numFmtId="165" fontId="29" fillId="3" borderId="50" xfId="0" applyNumberFormat="1" applyFont="1" applyFill="1" applyBorder="1" applyAlignment="1">
      <alignment horizontal="center" vertical="center"/>
    </xf>
    <xf numFmtId="165" fontId="29" fillId="3" borderId="5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5" xfId="0" applyFill="1" applyBorder="1" applyAlignment="1">
      <alignment vertical="top"/>
    </xf>
    <xf numFmtId="0" fontId="0" fillId="0" borderId="5" xfId="0" applyBorder="1" applyAlignment="1">
      <alignment vertical="top"/>
    </xf>
    <xf numFmtId="0" fontId="6" fillId="0" borderId="5" xfId="0" applyFont="1" applyBorder="1" applyAlignment="1">
      <alignment vertical="top"/>
    </xf>
    <xf numFmtId="2" fontId="0" fillId="0" borderId="5" xfId="0" applyNumberFormat="1" applyBorder="1" applyAlignment="1">
      <alignment vertical="top"/>
    </xf>
    <xf numFmtId="2" fontId="6" fillId="0" borderId="0" xfId="0" applyNumberFormat="1" applyFon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0" fillId="6" borderId="5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/>
    </xf>
    <xf numFmtId="0" fontId="0" fillId="6" borderId="5" xfId="0" applyFill="1" applyBorder="1" applyAlignment="1">
      <alignment vertical="top"/>
    </xf>
    <xf numFmtId="0" fontId="6" fillId="0" borderId="5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vertical="top"/>
    </xf>
    <xf numFmtId="0" fontId="6" fillId="3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14" fillId="3" borderId="4" xfId="0" applyFont="1" applyFill="1" applyBorder="1" applyAlignment="1">
      <alignment vertical="top"/>
    </xf>
    <xf numFmtId="0" fontId="6" fillId="6" borderId="5" xfId="0" applyFont="1" applyFill="1" applyBorder="1" applyAlignment="1">
      <alignment horizontal="center" vertical="top" wrapText="1"/>
    </xf>
    <xf numFmtId="164" fontId="6" fillId="6" borderId="5" xfId="0" applyNumberFormat="1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top"/>
    </xf>
    <xf numFmtId="164" fontId="10" fillId="6" borderId="5" xfId="0" applyNumberFormat="1" applyFont="1" applyFill="1" applyBorder="1" applyAlignment="1">
      <alignment vertical="top" wrapText="1"/>
    </xf>
    <xf numFmtId="0" fontId="0" fillId="8" borderId="5" xfId="0" applyFill="1" applyBorder="1" applyAlignment="1">
      <alignment vertical="top"/>
    </xf>
    <xf numFmtId="0" fontId="0" fillId="6" borderId="39" xfId="0" applyFill="1" applyBorder="1" applyAlignment="1">
      <alignment horizontal="center" vertical="top" wrapText="1"/>
    </xf>
    <xf numFmtId="0" fontId="23" fillId="0" borderId="0" xfId="0" applyFont="1" applyAlignment="1">
      <alignment vertical="top"/>
    </xf>
    <xf numFmtId="0" fontId="0" fillId="9" borderId="5" xfId="0" applyFill="1" applyBorder="1" applyAlignment="1">
      <alignment vertical="top"/>
    </xf>
    <xf numFmtId="0" fontId="0" fillId="7" borderId="5" xfId="0" applyFill="1" applyBorder="1" applyAlignment="1">
      <alignment vertical="top"/>
    </xf>
    <xf numFmtId="0" fontId="0" fillId="6" borderId="5" xfId="0" applyFill="1" applyBorder="1" applyAlignment="1">
      <alignment vertical="top" wrapText="1"/>
    </xf>
    <xf numFmtId="0" fontId="0" fillId="3" borderId="5" xfId="0" applyFill="1" applyBorder="1" applyAlignment="1">
      <alignment vertical="top"/>
    </xf>
    <xf numFmtId="0" fontId="1" fillId="3" borderId="28" xfId="0" applyFont="1" applyFill="1" applyBorder="1" applyAlignment="1">
      <alignment vertical="top" wrapText="1"/>
    </xf>
    <xf numFmtId="0" fontId="30" fillId="2" borderId="4" xfId="0" applyFont="1" applyFill="1" applyBorder="1" applyAlignment="1">
      <alignment vertical="top" wrapText="1"/>
    </xf>
    <xf numFmtId="0" fontId="26" fillId="2" borderId="4" xfId="0" applyFont="1" applyFill="1" applyBorder="1" applyAlignment="1">
      <alignment vertical="top"/>
    </xf>
    <xf numFmtId="0" fontId="26" fillId="2" borderId="5" xfId="0" applyFont="1" applyFill="1" applyBorder="1" applyAlignment="1">
      <alignment vertical="top"/>
    </xf>
    <xf numFmtId="0" fontId="30" fillId="2" borderId="4" xfId="0" applyFont="1" applyFill="1" applyBorder="1" applyAlignment="1">
      <alignment vertical="top"/>
    </xf>
    <xf numFmtId="0" fontId="26" fillId="0" borderId="0" xfId="0" applyFont="1" applyAlignment="1">
      <alignment vertical="top"/>
    </xf>
    <xf numFmtId="0" fontId="30" fillId="2" borderId="28" xfId="0" applyFont="1" applyFill="1" applyBorder="1" applyAlignment="1">
      <alignment vertical="top" wrapText="1"/>
    </xf>
    <xf numFmtId="0" fontId="26" fillId="2" borderId="28" xfId="0" applyFont="1" applyFill="1" applyBorder="1" applyAlignment="1">
      <alignment vertical="top"/>
    </xf>
    <xf numFmtId="0" fontId="30" fillId="2" borderId="28" xfId="0" applyFont="1" applyFill="1" applyBorder="1" applyAlignment="1">
      <alignment vertical="top"/>
    </xf>
    <xf numFmtId="0" fontId="1" fillId="0" borderId="28" xfId="0" applyFont="1" applyBorder="1" applyAlignment="1">
      <alignment vertical="top" wrapText="1"/>
    </xf>
    <xf numFmtId="0" fontId="0" fillId="0" borderId="28" xfId="0" applyBorder="1" applyAlignment="1">
      <alignment vertical="top"/>
    </xf>
    <xf numFmtId="164" fontId="10" fillId="6" borderId="60" xfId="0" applyNumberFormat="1" applyFont="1" applyFill="1" applyBorder="1" applyAlignment="1">
      <alignment vertical="top" wrapText="1"/>
    </xf>
    <xf numFmtId="0" fontId="25" fillId="3" borderId="5" xfId="0" applyFont="1" applyFill="1" applyBorder="1" applyAlignment="1">
      <alignment horizontal="center" vertical="top"/>
    </xf>
    <xf numFmtId="0" fontId="24" fillId="0" borderId="0" xfId="0" applyFont="1" applyAlignment="1">
      <alignment vertical="top"/>
    </xf>
    <xf numFmtId="0" fontId="30" fillId="3" borderId="4" xfId="0" applyFont="1" applyFill="1" applyBorder="1" applyAlignment="1">
      <alignment vertical="top"/>
    </xf>
    <xf numFmtId="0" fontId="26" fillId="3" borderId="4" xfId="0" applyFont="1" applyFill="1" applyBorder="1" applyAlignment="1">
      <alignment vertical="top"/>
    </xf>
    <xf numFmtId="0" fontId="26" fillId="11" borderId="0" xfId="0" applyFont="1" applyFill="1" applyAlignment="1">
      <alignment vertical="top"/>
    </xf>
    <xf numFmtId="0" fontId="30" fillId="0" borderId="4" xfId="0" applyFont="1" applyBorder="1" applyAlignment="1">
      <alignment vertical="top"/>
    </xf>
    <xf numFmtId="0" fontId="26" fillId="0" borderId="4" xfId="0" applyFont="1" applyBorder="1" applyAlignment="1">
      <alignment vertical="top"/>
    </xf>
    <xf numFmtId="0" fontId="26" fillId="0" borderId="5" xfId="0" applyFont="1" applyBorder="1" applyAlignment="1">
      <alignment vertical="top"/>
    </xf>
    <xf numFmtId="0" fontId="0" fillId="3" borderId="28" xfId="0" applyFill="1" applyBorder="1" applyAlignment="1">
      <alignment vertical="top"/>
    </xf>
    <xf numFmtId="0" fontId="6" fillId="6" borderId="60" xfId="0" applyFont="1" applyFill="1" applyBorder="1" applyAlignment="1">
      <alignment horizontal="center" vertical="top" wrapText="1"/>
    </xf>
    <xf numFmtId="164" fontId="6" fillId="6" borderId="60" xfId="0" applyNumberFormat="1" applyFont="1" applyFill="1" applyBorder="1" applyAlignment="1">
      <alignment vertical="top" wrapText="1"/>
    </xf>
    <xf numFmtId="0" fontId="1" fillId="0" borderId="4" xfId="0" applyFont="1" applyBorder="1" applyAlignment="1">
      <alignment vertical="top"/>
    </xf>
    <xf numFmtId="164" fontId="10" fillId="3" borderId="64" xfId="0" applyNumberFormat="1" applyFont="1" applyFill="1" applyBorder="1" applyAlignment="1">
      <alignment vertical="top" wrapText="1"/>
    </xf>
    <xf numFmtId="164" fontId="10" fillId="3" borderId="48" xfId="0" applyNumberFormat="1" applyFont="1" applyFill="1" applyBorder="1" applyAlignment="1">
      <alignment vertical="top" wrapText="1"/>
    </xf>
    <xf numFmtId="164" fontId="10" fillId="3" borderId="50" xfId="0" applyNumberFormat="1" applyFont="1" applyFill="1" applyBorder="1" applyAlignment="1">
      <alignment vertical="top" wrapText="1"/>
    </xf>
    <xf numFmtId="0" fontId="11" fillId="4" borderId="65" xfId="0" applyFont="1" applyFill="1" applyBorder="1" applyAlignment="1">
      <alignment horizontal="right" vertical="top"/>
    </xf>
    <xf numFmtId="0" fontId="6" fillId="4" borderId="68" xfId="0" applyFont="1" applyFill="1" applyBorder="1" applyAlignment="1">
      <alignment horizontal="center" vertical="top" wrapText="1"/>
    </xf>
    <xf numFmtId="164" fontId="6" fillId="4" borderId="68" xfId="0" applyNumberFormat="1" applyFont="1" applyFill="1" applyBorder="1" applyAlignment="1">
      <alignment vertical="top" wrapText="1"/>
    </xf>
    <xf numFmtId="164" fontId="6" fillId="4" borderId="69" xfId="0" applyNumberFormat="1" applyFont="1" applyFill="1" applyBorder="1" applyAlignment="1">
      <alignment vertical="top" wrapText="1"/>
    </xf>
    <xf numFmtId="0" fontId="6" fillId="2" borderId="70" xfId="0" applyFont="1" applyFill="1" applyBorder="1" applyAlignment="1">
      <alignment horizontal="center" vertical="top" wrapText="1"/>
    </xf>
    <xf numFmtId="164" fontId="6" fillId="2" borderId="71" xfId="0" applyNumberFormat="1" applyFont="1" applyFill="1" applyBorder="1" applyAlignment="1">
      <alignment vertical="top" wrapText="1"/>
    </xf>
    <xf numFmtId="164" fontId="10" fillId="4" borderId="75" xfId="0" applyNumberFormat="1" applyFont="1" applyFill="1" applyBorder="1" applyAlignment="1">
      <alignment vertical="top" wrapText="1"/>
    </xf>
    <xf numFmtId="164" fontId="10" fillId="4" borderId="76" xfId="0" applyNumberFormat="1" applyFont="1" applyFill="1" applyBorder="1" applyAlignment="1">
      <alignment vertical="top" wrapText="1"/>
    </xf>
    <xf numFmtId="0" fontId="11" fillId="6" borderId="65" xfId="0" applyFont="1" applyFill="1" applyBorder="1" applyAlignment="1">
      <alignment horizontal="right" vertical="top"/>
    </xf>
    <xf numFmtId="0" fontId="6" fillId="6" borderId="68" xfId="0" applyFont="1" applyFill="1" applyBorder="1" applyAlignment="1">
      <alignment horizontal="center" vertical="top" wrapText="1"/>
    </xf>
    <xf numFmtId="164" fontId="6" fillId="6" borderId="68" xfId="0" applyNumberFormat="1" applyFont="1" applyFill="1" applyBorder="1" applyAlignment="1">
      <alignment vertical="top" wrapText="1"/>
    </xf>
    <xf numFmtId="164" fontId="6" fillId="6" borderId="69" xfId="0" applyNumberFormat="1" applyFont="1" applyFill="1" applyBorder="1" applyAlignment="1">
      <alignment vertical="top" wrapText="1"/>
    </xf>
    <xf numFmtId="0" fontId="0" fillId="3" borderId="70" xfId="0" applyFill="1" applyBorder="1" applyAlignment="1">
      <alignment horizontal="center" vertical="top" wrapText="1"/>
    </xf>
    <xf numFmtId="164" fontId="10" fillId="6" borderId="80" xfId="0" applyNumberFormat="1" applyFont="1" applyFill="1" applyBorder="1" applyAlignment="1">
      <alignment vertical="top" wrapText="1"/>
    </xf>
    <xf numFmtId="164" fontId="10" fillId="4" borderId="84" xfId="0" applyNumberFormat="1" applyFont="1" applyFill="1" applyBorder="1" applyAlignment="1">
      <alignment vertical="top" wrapText="1"/>
    </xf>
    <xf numFmtId="164" fontId="10" fillId="4" borderId="85" xfId="0" applyNumberFormat="1" applyFont="1" applyFill="1" applyBorder="1" applyAlignment="1">
      <alignment vertical="top" wrapText="1"/>
    </xf>
    <xf numFmtId="0" fontId="10" fillId="6" borderId="65" xfId="0" applyFont="1" applyFill="1" applyBorder="1" applyAlignment="1">
      <alignment horizontal="right" vertical="top" wrapText="1"/>
    </xf>
    <xf numFmtId="0" fontId="0" fillId="6" borderId="68" xfId="0" applyFill="1" applyBorder="1" applyAlignment="1">
      <alignment vertical="top" wrapText="1"/>
    </xf>
    <xf numFmtId="164" fontId="10" fillId="6" borderId="71" xfId="0" applyNumberFormat="1" applyFont="1" applyFill="1" applyBorder="1" applyAlignment="1">
      <alignment vertical="top" wrapText="1"/>
    </xf>
    <xf numFmtId="164" fontId="10" fillId="6" borderId="75" xfId="0" applyNumberFormat="1" applyFont="1" applyFill="1" applyBorder="1" applyAlignment="1">
      <alignment vertical="top" wrapText="1"/>
    </xf>
    <xf numFmtId="164" fontId="10" fillId="6" borderId="76" xfId="0" applyNumberFormat="1" applyFont="1" applyFill="1" applyBorder="1" applyAlignment="1">
      <alignment vertical="top" wrapText="1"/>
    </xf>
    <xf numFmtId="0" fontId="10" fillId="6" borderId="87" xfId="0" applyFont="1" applyFill="1" applyBorder="1" applyAlignment="1">
      <alignment horizontal="right" vertical="top" wrapText="1"/>
    </xf>
    <xf numFmtId="0" fontId="6" fillId="6" borderId="88" xfId="0" applyFont="1" applyFill="1" applyBorder="1" applyAlignment="1">
      <alignment horizontal="center" vertical="top" wrapText="1"/>
    </xf>
    <xf numFmtId="164" fontId="6" fillId="6" borderId="88" xfId="0" applyNumberFormat="1" applyFont="1" applyFill="1" applyBorder="1" applyAlignment="1">
      <alignment vertical="top" wrapText="1"/>
    </xf>
    <xf numFmtId="164" fontId="6" fillId="6" borderId="89" xfId="0" applyNumberFormat="1" applyFont="1" applyFill="1" applyBorder="1" applyAlignment="1">
      <alignment vertical="top" wrapText="1"/>
    </xf>
    <xf numFmtId="0" fontId="10" fillId="6" borderId="79" xfId="0" applyFont="1" applyFill="1" applyBorder="1" applyAlignment="1">
      <alignment horizontal="right" vertical="top" wrapText="1"/>
    </xf>
    <xf numFmtId="164" fontId="6" fillId="6" borderId="80" xfId="0" applyNumberFormat="1" applyFont="1" applyFill="1" applyBorder="1" applyAlignment="1">
      <alignment vertical="top" wrapText="1"/>
    </xf>
    <xf numFmtId="164" fontId="10" fillId="6" borderId="91" xfId="0" applyNumberFormat="1" applyFont="1" applyFill="1" applyBorder="1" applyAlignment="1">
      <alignment vertical="top" wrapText="1"/>
    </xf>
    <xf numFmtId="164" fontId="10" fillId="6" borderId="92" xfId="0" applyNumberFormat="1" applyFont="1" applyFill="1" applyBorder="1" applyAlignment="1">
      <alignment vertical="top" wrapText="1"/>
    </xf>
    <xf numFmtId="0" fontId="10" fillId="4" borderId="65" xfId="0" applyFont="1" applyFill="1" applyBorder="1" applyAlignment="1">
      <alignment horizontal="right" vertical="top" wrapText="1"/>
    </xf>
    <xf numFmtId="0" fontId="0" fillId="4" borderId="66" xfId="0" applyFill="1" applyBorder="1" applyAlignment="1">
      <alignment horizontal="center" vertical="top" wrapText="1"/>
    </xf>
    <xf numFmtId="0" fontId="0" fillId="4" borderId="67" xfId="0" applyFill="1" applyBorder="1" applyAlignment="1">
      <alignment horizontal="center" vertical="top" wrapText="1"/>
    </xf>
    <xf numFmtId="0" fontId="10" fillId="6" borderId="70" xfId="0" applyFont="1" applyFill="1" applyBorder="1" applyAlignment="1">
      <alignment horizontal="right" vertical="top" wrapText="1"/>
    </xf>
    <xf numFmtId="164" fontId="6" fillId="6" borderId="71" xfId="0" applyNumberFormat="1" applyFont="1" applyFill="1" applyBorder="1" applyAlignment="1">
      <alignment vertical="top" wrapText="1"/>
    </xf>
    <xf numFmtId="0" fontId="6" fillId="2" borderId="70" xfId="0" applyFont="1" applyFill="1" applyBorder="1" applyAlignment="1">
      <alignment horizontal="center" vertical="top"/>
    </xf>
    <xf numFmtId="164" fontId="6" fillId="0" borderId="71" xfId="0" applyNumberFormat="1" applyFont="1" applyBorder="1" applyAlignment="1">
      <alignment vertical="top" wrapText="1"/>
    </xf>
    <xf numFmtId="0" fontId="0" fillId="6" borderId="68" xfId="0" applyFill="1" applyBorder="1" applyAlignment="1">
      <alignment horizontal="center" vertical="top" wrapText="1"/>
    </xf>
    <xf numFmtId="164" fontId="10" fillId="6" borderId="84" xfId="0" applyNumberFormat="1" applyFont="1" applyFill="1" applyBorder="1" applyAlignment="1">
      <alignment vertical="top" wrapText="1"/>
    </xf>
    <xf numFmtId="164" fontId="10" fillId="6" borderId="85" xfId="0" applyNumberFormat="1" applyFont="1" applyFill="1" applyBorder="1" applyAlignment="1">
      <alignment vertical="top" wrapText="1"/>
    </xf>
    <xf numFmtId="0" fontId="0" fillId="6" borderId="66" xfId="0" applyFill="1" applyBorder="1" applyAlignment="1">
      <alignment horizontal="center" vertical="top" wrapText="1"/>
    </xf>
    <xf numFmtId="0" fontId="0" fillId="6" borderId="67" xfId="0" applyFill="1" applyBorder="1" applyAlignment="1">
      <alignment horizontal="center" vertical="top" wrapText="1"/>
    </xf>
    <xf numFmtId="0" fontId="10" fillId="4" borderId="68" xfId="0" applyFont="1" applyFill="1" applyBorder="1" applyAlignment="1">
      <alignment horizontal="center" vertical="top" wrapText="1"/>
    </xf>
    <xf numFmtId="164" fontId="10" fillId="4" borderId="68" xfId="0" applyNumberFormat="1" applyFont="1" applyFill="1" applyBorder="1" applyAlignment="1">
      <alignment vertical="top" wrapText="1"/>
    </xf>
    <xf numFmtId="164" fontId="10" fillId="4" borderId="69" xfId="0" applyNumberFormat="1" applyFont="1" applyFill="1" applyBorder="1" applyAlignment="1">
      <alignment vertical="top" wrapText="1"/>
    </xf>
    <xf numFmtId="0" fontId="6" fillId="2" borderId="86" xfId="0" applyFont="1" applyFill="1" applyBorder="1" applyAlignment="1">
      <alignment horizontal="center" vertical="top"/>
    </xf>
    <xf numFmtId="0" fontId="11" fillId="4" borderId="65" xfId="0" applyFont="1" applyFill="1" applyBorder="1" applyAlignment="1">
      <alignment horizontal="right" vertical="top" wrapText="1"/>
    </xf>
    <xf numFmtId="0" fontId="10" fillId="4" borderId="30" xfId="0" applyFont="1" applyFill="1" applyBorder="1" applyAlignment="1">
      <alignment horizontal="center" vertical="top" wrapText="1"/>
    </xf>
    <xf numFmtId="0" fontId="10" fillId="4" borderId="31" xfId="0" applyFont="1" applyFill="1" applyBorder="1" applyAlignment="1">
      <alignment horizontal="center" vertical="top" wrapText="1"/>
    </xf>
    <xf numFmtId="0" fontId="11" fillId="4" borderId="68" xfId="0" applyFont="1" applyFill="1" applyBorder="1" applyAlignment="1">
      <alignment vertical="top" wrapText="1"/>
    </xf>
    <xf numFmtId="164" fontId="11" fillId="4" borderId="69" xfId="0" applyNumberFormat="1" applyFont="1" applyFill="1" applyBorder="1" applyAlignment="1">
      <alignment vertical="top" wrapText="1"/>
    </xf>
    <xf numFmtId="0" fontId="30" fillId="0" borderId="28" xfId="0" applyFont="1" applyBorder="1" applyAlignment="1">
      <alignment vertical="top"/>
    </xf>
    <xf numFmtId="0" fontId="26" fillId="0" borderId="28" xfId="0" applyFont="1" applyBorder="1" applyAlignment="1">
      <alignment vertical="top"/>
    </xf>
    <xf numFmtId="0" fontId="20" fillId="0" borderId="52" xfId="0" applyFont="1" applyBorder="1"/>
    <xf numFmtId="0" fontId="20" fillId="5" borderId="78" xfId="0" applyFont="1" applyFill="1" applyBorder="1" applyAlignment="1">
      <alignment horizontal="center"/>
    </xf>
    <xf numFmtId="0" fontId="21" fillId="0" borderId="70" xfId="0" applyFont="1" applyBorder="1" applyAlignment="1">
      <alignment horizontal="center" vertical="center"/>
    </xf>
    <xf numFmtId="10" fontId="22" fillId="0" borderId="71" xfId="0" applyNumberFormat="1" applyFont="1" applyBorder="1" applyAlignment="1">
      <alignment horizontal="center" vertical="center" shrinkToFit="1"/>
    </xf>
    <xf numFmtId="0" fontId="20" fillId="0" borderId="101" xfId="0" applyFont="1" applyBorder="1"/>
    <xf numFmtId="0" fontId="20" fillId="0" borderId="102" xfId="0" applyFont="1" applyBorder="1"/>
    <xf numFmtId="9" fontId="21" fillId="5" borderId="103" xfId="0" applyNumberFormat="1" applyFont="1" applyFill="1" applyBorder="1" applyAlignment="1">
      <alignment horizontal="center" vertical="center"/>
    </xf>
    <xf numFmtId="165" fontId="21" fillId="5" borderId="75" xfId="0" applyNumberFormat="1" applyFont="1" applyFill="1" applyBorder="1" applyAlignment="1">
      <alignment horizontal="center"/>
    </xf>
    <xf numFmtId="0" fontId="21" fillId="5" borderId="76" xfId="0" applyFont="1" applyFill="1" applyBorder="1"/>
    <xf numFmtId="0" fontId="2" fillId="11" borderId="28" xfId="0" applyFont="1" applyFill="1" applyBorder="1"/>
    <xf numFmtId="0" fontId="0" fillId="11" borderId="0" xfId="0" applyFill="1"/>
    <xf numFmtId="0" fontId="20" fillId="12" borderId="28" xfId="0" applyFont="1" applyFill="1" applyBorder="1" applyAlignment="1">
      <alignment horizontal="center"/>
    </xf>
    <xf numFmtId="10" fontId="22" fillId="11" borderId="28" xfId="0" applyNumberFormat="1" applyFont="1" applyFill="1" applyBorder="1" applyAlignment="1">
      <alignment horizontal="center" vertical="center" shrinkToFit="1"/>
    </xf>
    <xf numFmtId="0" fontId="20" fillId="11" borderId="28" xfId="0" applyFont="1" applyFill="1" applyBorder="1"/>
    <xf numFmtId="9" fontId="21" fillId="12" borderId="28" xfId="0" applyNumberFormat="1" applyFont="1" applyFill="1" applyBorder="1" applyAlignment="1">
      <alignment horizontal="center" vertical="center"/>
    </xf>
    <xf numFmtId="0" fontId="21" fillId="12" borderId="28" xfId="0" applyFont="1" applyFill="1" applyBorder="1"/>
    <xf numFmtId="0" fontId="1" fillId="11" borderId="0" xfId="0" applyFont="1" applyFill="1"/>
    <xf numFmtId="0" fontId="22" fillId="11" borderId="0" xfId="0" applyFont="1" applyFill="1" applyAlignment="1">
      <alignment horizontal="left" vertical="top"/>
    </xf>
    <xf numFmtId="166" fontId="0" fillId="0" borderId="0" xfId="0" applyNumberFormat="1"/>
    <xf numFmtId="2" fontId="0" fillId="2" borderId="5" xfId="0" applyNumberFormat="1" applyFill="1" applyBorder="1" applyAlignment="1">
      <alignment vertical="top"/>
    </xf>
    <xf numFmtId="2" fontId="6" fillId="2" borderId="5" xfId="0" applyNumberFormat="1" applyFont="1" applyFill="1" applyBorder="1" applyAlignment="1">
      <alignment vertical="top"/>
    </xf>
    <xf numFmtId="0" fontId="31" fillId="0" borderId="28" xfId="0" applyFont="1" applyBorder="1" applyAlignment="1">
      <alignment vertical="top" wrapText="1"/>
    </xf>
    <xf numFmtId="0" fontId="24" fillId="0" borderId="28" xfId="0" applyFont="1" applyBorder="1" applyAlignment="1">
      <alignment vertical="top"/>
    </xf>
    <xf numFmtId="0" fontId="24" fillId="0" borderId="5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24" fillId="0" borderId="19" xfId="0" applyFont="1" applyBorder="1" applyAlignment="1">
      <alignment horizontal="center" vertical="top" wrapText="1"/>
    </xf>
    <xf numFmtId="0" fontId="28" fillId="0" borderId="94" xfId="0" applyFont="1" applyBorder="1" applyAlignment="1">
      <alignment horizontal="center" vertical="top" wrapText="1"/>
    </xf>
    <xf numFmtId="0" fontId="26" fillId="0" borderId="28" xfId="0" applyFont="1" applyBorder="1"/>
    <xf numFmtId="4" fontId="29" fillId="3" borderId="28" xfId="0" applyNumberFormat="1" applyFont="1" applyFill="1" applyBorder="1" applyAlignment="1">
      <alignment horizontal="right" vertical="center"/>
    </xf>
    <xf numFmtId="165" fontId="29" fillId="3" borderId="28" xfId="0" applyNumberFormat="1" applyFont="1" applyFill="1" applyBorder="1" applyAlignment="1">
      <alignment horizontal="center" vertical="center"/>
    </xf>
    <xf numFmtId="10" fontId="21" fillId="5" borderId="75" xfId="1" applyNumberFormat="1" applyFont="1" applyFill="1" applyBorder="1" applyAlignment="1">
      <alignment horizontal="center"/>
    </xf>
    <xf numFmtId="9" fontId="22" fillId="0" borderId="5" xfId="1" applyFont="1" applyBorder="1" applyAlignment="1">
      <alignment horizontal="center" vertical="center" shrinkToFit="1"/>
    </xf>
    <xf numFmtId="9" fontId="22" fillId="0" borderId="5" xfId="1" applyFont="1" applyBorder="1" applyAlignment="1">
      <alignment horizontal="center" vertical="center"/>
    </xf>
    <xf numFmtId="165" fontId="21" fillId="5" borderId="27" xfId="0" applyNumberFormat="1" applyFont="1" applyFill="1" applyBorder="1" applyAlignment="1">
      <alignment horizontal="center"/>
    </xf>
    <xf numFmtId="0" fontId="21" fillId="5" borderId="74" xfId="0" applyFont="1" applyFill="1" applyBorder="1" applyAlignment="1">
      <alignment horizontal="center"/>
    </xf>
    <xf numFmtId="0" fontId="20" fillId="0" borderId="28" xfId="0" applyFont="1" applyBorder="1"/>
    <xf numFmtId="9" fontId="20" fillId="0" borderId="28" xfId="1" applyFont="1" applyBorder="1"/>
    <xf numFmtId="165" fontId="21" fillId="5" borderId="68" xfId="0" applyNumberFormat="1" applyFont="1" applyFill="1" applyBorder="1" applyAlignment="1">
      <alignment horizontal="center"/>
    </xf>
    <xf numFmtId="10" fontId="21" fillId="5" borderId="68" xfId="1" applyNumberFormat="1" applyFont="1" applyFill="1" applyBorder="1" applyAlignment="1">
      <alignment horizontal="center"/>
    </xf>
    <xf numFmtId="10" fontId="21" fillId="5" borderId="69" xfId="1" applyNumberFormat="1" applyFont="1" applyFill="1" applyBorder="1" applyAlignment="1">
      <alignment horizontal="center"/>
    </xf>
    <xf numFmtId="10" fontId="21" fillId="5" borderId="76" xfId="1" applyNumberFormat="1" applyFont="1" applyFill="1" applyBorder="1" applyAlignment="1">
      <alignment horizontal="center"/>
    </xf>
    <xf numFmtId="2" fontId="26" fillId="0" borderId="5" xfId="0" applyNumberFormat="1" applyFont="1" applyBorder="1" applyAlignment="1">
      <alignment vertical="top"/>
    </xf>
    <xf numFmtId="0" fontId="0" fillId="6" borderId="54" xfId="0" applyFill="1" applyBorder="1" applyAlignment="1">
      <alignment horizontal="center" vertical="top" wrapText="1"/>
    </xf>
    <xf numFmtId="0" fontId="26" fillId="0" borderId="38" xfId="0" applyFont="1" applyBorder="1"/>
    <xf numFmtId="0" fontId="1" fillId="2" borderId="28" xfId="0" applyFont="1" applyFill="1" applyBorder="1" applyAlignment="1">
      <alignment vertical="top" wrapText="1"/>
    </xf>
    <xf numFmtId="0" fontId="0" fillId="2" borderId="28" xfId="0" applyFill="1" applyBorder="1" applyAlignment="1">
      <alignment vertical="top"/>
    </xf>
    <xf numFmtId="0" fontId="1" fillId="2" borderId="28" xfId="0" applyFont="1" applyFill="1" applyBorder="1" applyAlignment="1">
      <alignment vertical="top"/>
    </xf>
    <xf numFmtId="0" fontId="11" fillId="6" borderId="110" xfId="0" applyFont="1" applyFill="1" applyBorder="1" applyAlignment="1">
      <alignment horizontal="right" vertical="top" wrapText="1"/>
    </xf>
    <xf numFmtId="0" fontId="0" fillId="6" borderId="112" xfId="0" applyFill="1" applyBorder="1" applyAlignment="1">
      <alignment horizontal="center" vertical="top"/>
    </xf>
    <xf numFmtId="164" fontId="6" fillId="6" borderId="112" xfId="0" applyNumberFormat="1" applyFont="1" applyFill="1" applyBorder="1" applyAlignment="1">
      <alignment vertical="top" wrapText="1"/>
    </xf>
    <xf numFmtId="164" fontId="6" fillId="6" borderId="113" xfId="0" applyNumberFormat="1" applyFont="1" applyFill="1" applyBorder="1" applyAlignment="1">
      <alignment vertical="top" wrapText="1"/>
    </xf>
    <xf numFmtId="0" fontId="33" fillId="11" borderId="0" xfId="0" applyFont="1" applyFill="1" applyAlignment="1">
      <alignment vertical="center"/>
    </xf>
    <xf numFmtId="0" fontId="34" fillId="11" borderId="0" xfId="0" applyFont="1" applyFill="1" applyAlignment="1">
      <alignment vertical="center"/>
    </xf>
    <xf numFmtId="0" fontId="34" fillId="0" borderId="0" xfId="0" applyFont="1"/>
    <xf numFmtId="166" fontId="36" fillId="0" borderId="28" xfId="2" applyNumberFormat="1" applyFont="1" applyAlignment="1">
      <alignment horizontal="center" vertical="center"/>
    </xf>
    <xf numFmtId="0" fontId="36" fillId="11" borderId="28" xfId="2" applyFont="1" applyFill="1" applyAlignment="1">
      <alignment horizontal="left" vertical="center"/>
    </xf>
    <xf numFmtId="166" fontId="36" fillId="0" borderId="28" xfId="2" applyNumberFormat="1" applyFont="1" applyAlignment="1">
      <alignment vertical="center"/>
    </xf>
    <xf numFmtId="14" fontId="34" fillId="11" borderId="0" xfId="0" applyNumberFormat="1" applyFont="1" applyFill="1" applyAlignment="1">
      <alignment horizontal="left" vertical="center"/>
    </xf>
    <xf numFmtId="0" fontId="36" fillId="0" borderId="28" xfId="2" applyFont="1" applyAlignment="1">
      <alignment horizontal="center" vertical="center"/>
    </xf>
    <xf numFmtId="0" fontId="24" fillId="11" borderId="0" xfId="0" quotePrefix="1" applyFont="1" applyFill="1" applyAlignment="1">
      <alignment horizontal="left" vertical="center"/>
    </xf>
    <xf numFmtId="0" fontId="24" fillId="11" borderId="0" xfId="0" applyFont="1" applyFill="1" applyAlignment="1">
      <alignment horizontal="left" vertical="center"/>
    </xf>
    <xf numFmtId="0" fontId="26" fillId="2" borderId="79" xfId="0" applyFont="1" applyFill="1" applyBorder="1" applyAlignment="1">
      <alignment horizontal="center" vertical="top" wrapText="1"/>
    </xf>
    <xf numFmtId="0" fontId="26" fillId="2" borderId="60" xfId="0" applyFont="1" applyFill="1" applyBorder="1" applyAlignment="1">
      <alignment horizontal="center" vertical="top" wrapText="1"/>
    </xf>
    <xf numFmtId="164" fontId="26" fillId="2" borderId="60" xfId="0" applyNumberFormat="1" applyFont="1" applyFill="1" applyBorder="1" applyAlignment="1">
      <alignment vertical="top" wrapText="1"/>
    </xf>
    <xf numFmtId="164" fontId="26" fillId="2" borderId="80" xfId="0" applyNumberFormat="1" applyFont="1" applyFill="1" applyBorder="1" applyAlignment="1">
      <alignment vertical="top" wrapText="1"/>
    </xf>
    <xf numFmtId="0" fontId="28" fillId="3" borderId="5" xfId="0" applyFont="1" applyFill="1" applyBorder="1" applyAlignment="1">
      <alignment horizontal="center" vertical="top" wrapText="1"/>
    </xf>
    <xf numFmtId="0" fontId="26" fillId="3" borderId="70" xfId="0" applyFont="1" applyFill="1" applyBorder="1" applyAlignment="1">
      <alignment horizontal="center" vertical="top" wrapText="1"/>
    </xf>
    <xf numFmtId="0" fontId="26" fillId="3" borderId="5" xfId="0" applyFont="1" applyFill="1" applyBorder="1" applyAlignment="1">
      <alignment horizontal="center" vertical="top" wrapText="1"/>
    </xf>
    <xf numFmtId="164" fontId="26" fillId="2" borderId="5" xfId="0" applyNumberFormat="1" applyFont="1" applyFill="1" applyBorder="1" applyAlignment="1">
      <alignment vertical="top" wrapText="1"/>
    </xf>
    <xf numFmtId="164" fontId="26" fillId="0" borderId="5" xfId="0" applyNumberFormat="1" applyFont="1" applyBorder="1" applyAlignment="1">
      <alignment vertical="top" wrapText="1"/>
    </xf>
    <xf numFmtId="164" fontId="26" fillId="0" borderId="71" xfId="0" applyNumberFormat="1" applyFont="1" applyBorder="1" applyAlignment="1">
      <alignment vertical="top" wrapText="1"/>
    </xf>
    <xf numFmtId="0" fontId="26" fillId="2" borderId="79" xfId="0" applyFont="1" applyFill="1" applyBorder="1" applyAlignment="1">
      <alignment horizontal="center" vertical="top"/>
    </xf>
    <xf numFmtId="0" fontId="26" fillId="3" borderId="5" xfId="0" applyFont="1" applyFill="1" applyBorder="1" applyAlignment="1">
      <alignment horizontal="center" vertical="top"/>
    </xf>
    <xf numFmtId="0" fontId="26" fillId="3" borderId="30" xfId="0" applyFont="1" applyFill="1" applyBorder="1" applyAlignment="1">
      <alignment horizontal="center" vertical="top"/>
    </xf>
    <xf numFmtId="164" fontId="26" fillId="0" borderId="30" xfId="0" applyNumberFormat="1" applyFont="1" applyBorder="1" applyAlignment="1">
      <alignment vertical="top" wrapText="1"/>
    </xf>
    <xf numFmtId="164" fontId="26" fillId="0" borderId="78" xfId="0" applyNumberFormat="1" applyFont="1" applyBorder="1" applyAlignment="1">
      <alignment vertical="top" wrapText="1"/>
    </xf>
    <xf numFmtId="0" fontId="26" fillId="2" borderId="60" xfId="0" applyFont="1" applyFill="1" applyBorder="1" applyAlignment="1">
      <alignment horizontal="center" vertical="top"/>
    </xf>
    <xf numFmtId="0" fontId="10" fillId="4" borderId="107" xfId="0" applyFont="1" applyFill="1" applyBorder="1" applyAlignment="1">
      <alignment horizontal="right" vertical="top" wrapText="1"/>
    </xf>
    <xf numFmtId="0" fontId="26" fillId="2" borderId="79" xfId="0" applyFont="1" applyFill="1" applyBorder="1" applyAlignment="1">
      <alignment horizontal="right" vertical="top" wrapText="1"/>
    </xf>
    <xf numFmtId="0" fontId="26" fillId="3" borderId="70" xfId="0" applyFont="1" applyFill="1" applyBorder="1" applyAlignment="1">
      <alignment horizontal="right" vertical="top" wrapText="1"/>
    </xf>
    <xf numFmtId="0" fontId="28" fillId="0" borderId="94" xfId="0" applyFont="1" applyBorder="1" applyAlignment="1">
      <alignment horizontal="right" vertical="top" wrapText="1"/>
    </xf>
    <xf numFmtId="0" fontId="0" fillId="3" borderId="70" xfId="0" applyFill="1" applyBorder="1" applyAlignment="1">
      <alignment horizontal="right" vertical="top" wrapText="1"/>
    </xf>
    <xf numFmtId="0" fontId="26" fillId="2" borderId="77" xfId="0" applyFont="1" applyFill="1" applyBorder="1" applyAlignment="1">
      <alignment horizontal="right" vertical="top" wrapText="1"/>
    </xf>
    <xf numFmtId="0" fontId="26" fillId="2" borderId="77" xfId="0" applyFont="1" applyFill="1" applyBorder="1" applyAlignment="1">
      <alignment horizontal="center" vertical="top" wrapText="1"/>
    </xf>
    <xf numFmtId="0" fontId="26" fillId="2" borderId="30" xfId="0" applyFont="1" applyFill="1" applyBorder="1" applyAlignment="1">
      <alignment horizontal="center" vertical="top" wrapText="1"/>
    </xf>
    <xf numFmtId="164" fontId="26" fillId="2" borderId="30" xfId="0" applyNumberFormat="1" applyFont="1" applyFill="1" applyBorder="1" applyAlignment="1">
      <alignment vertical="top" wrapText="1"/>
    </xf>
    <xf numFmtId="164" fontId="26" fillId="2" borderId="78" xfId="0" applyNumberFormat="1" applyFont="1" applyFill="1" applyBorder="1" applyAlignment="1">
      <alignment vertical="top" wrapText="1"/>
    </xf>
    <xf numFmtId="0" fontId="26" fillId="2" borderId="70" xfId="0" applyFont="1" applyFill="1" applyBorder="1" applyAlignment="1">
      <alignment horizontal="center" vertical="top" wrapText="1"/>
    </xf>
    <xf numFmtId="0" fontId="26" fillId="2" borderId="5" xfId="0" applyFont="1" applyFill="1" applyBorder="1" applyAlignment="1">
      <alignment horizontal="center" vertical="top" wrapText="1"/>
    </xf>
    <xf numFmtId="164" fontId="26" fillId="2" borderId="71" xfId="0" applyNumberFormat="1" applyFont="1" applyFill="1" applyBorder="1" applyAlignment="1">
      <alignment vertical="top" wrapText="1"/>
    </xf>
    <xf numFmtId="0" fontId="26" fillId="2" borderId="94" xfId="0" applyFont="1" applyFill="1" applyBorder="1" applyAlignment="1">
      <alignment horizontal="center" vertical="top" wrapText="1"/>
    </xf>
    <xf numFmtId="0" fontId="26" fillId="2" borderId="59" xfId="0" applyFont="1" applyFill="1" applyBorder="1" applyAlignment="1">
      <alignment horizontal="center" vertical="top" wrapText="1"/>
    </xf>
    <xf numFmtId="0" fontId="26" fillId="0" borderId="79" xfId="0" applyFont="1" applyBorder="1" applyAlignment="1">
      <alignment horizontal="center" vertical="top" wrapText="1"/>
    </xf>
    <xf numFmtId="0" fontId="26" fillId="0" borderId="60" xfId="0" applyFont="1" applyBorder="1" applyAlignment="1">
      <alignment horizontal="center" vertical="top" wrapText="1"/>
    </xf>
    <xf numFmtId="164" fontId="26" fillId="0" borderId="60" xfId="0" applyNumberFormat="1" applyFont="1" applyBorder="1" applyAlignment="1">
      <alignment vertical="top" wrapText="1"/>
    </xf>
    <xf numFmtId="164" fontId="26" fillId="0" borderId="80" xfId="0" applyNumberFormat="1" applyFont="1" applyBorder="1" applyAlignment="1">
      <alignment vertical="top" wrapText="1"/>
    </xf>
    <xf numFmtId="0" fontId="38" fillId="2" borderId="4" xfId="0" applyFont="1" applyFill="1" applyBorder="1" applyAlignment="1">
      <alignment vertical="top"/>
    </xf>
    <xf numFmtId="0" fontId="26" fillId="2" borderId="70" xfId="0" applyFont="1" applyFill="1" applyBorder="1" applyAlignment="1">
      <alignment horizontal="right" vertical="top" wrapText="1"/>
    </xf>
    <xf numFmtId="0" fontId="26" fillId="2" borderId="5" xfId="0" applyFont="1" applyFill="1" applyBorder="1" applyAlignment="1">
      <alignment horizontal="center" vertical="top"/>
    </xf>
    <xf numFmtId="0" fontId="26" fillId="2" borderId="70" xfId="0" applyFont="1" applyFill="1" applyBorder="1" applyAlignment="1">
      <alignment horizontal="center" vertical="top"/>
    </xf>
    <xf numFmtId="0" fontId="26" fillId="2" borderId="70" xfId="0" applyFont="1" applyFill="1" applyBorder="1" applyAlignment="1">
      <alignment horizontal="right" vertical="top"/>
    </xf>
    <xf numFmtId="0" fontId="26" fillId="2" borderId="77" xfId="0" applyFont="1" applyFill="1" applyBorder="1" applyAlignment="1">
      <alignment horizontal="center" vertical="top"/>
    </xf>
    <xf numFmtId="0" fontId="26" fillId="2" borderId="30" xfId="0" applyFont="1" applyFill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26" fillId="3" borderId="60" xfId="0" applyFont="1" applyFill="1" applyBorder="1" applyAlignment="1">
      <alignment horizontal="center" vertical="top"/>
    </xf>
    <xf numFmtId="0" fontId="26" fillId="0" borderId="70" xfId="0" applyFont="1" applyBorder="1" applyAlignment="1">
      <alignment horizontal="right" vertical="top"/>
    </xf>
    <xf numFmtId="0" fontId="30" fillId="0" borderId="28" xfId="0" applyFont="1" applyBorder="1" applyAlignment="1">
      <alignment vertical="top" wrapText="1"/>
    </xf>
    <xf numFmtId="0" fontId="26" fillId="0" borderId="70" xfId="0" applyFont="1" applyBorder="1" applyAlignment="1">
      <alignment horizontal="center" vertical="top"/>
    </xf>
    <xf numFmtId="0" fontId="26" fillId="0" borderId="5" xfId="0" applyFont="1" applyBorder="1" applyAlignment="1">
      <alignment horizontal="center" vertical="top" wrapText="1"/>
    </xf>
    <xf numFmtId="0" fontId="30" fillId="3" borderId="28" xfId="0" applyFont="1" applyFill="1" applyBorder="1" applyAlignment="1">
      <alignment vertical="top" wrapText="1"/>
    </xf>
    <xf numFmtId="0" fontId="26" fillId="3" borderId="28" xfId="0" applyFont="1" applyFill="1" applyBorder="1" applyAlignment="1">
      <alignment vertical="top"/>
    </xf>
    <xf numFmtId="0" fontId="26" fillId="0" borderId="79" xfId="0" applyFont="1" applyBorder="1" applyAlignment="1">
      <alignment horizontal="right" vertical="top" wrapText="1"/>
    </xf>
    <xf numFmtId="164" fontId="26" fillId="3" borderId="60" xfId="0" applyNumberFormat="1" applyFont="1" applyFill="1" applyBorder="1" applyAlignment="1">
      <alignment vertical="top" wrapText="1"/>
    </xf>
    <xf numFmtId="164" fontId="26" fillId="3" borderId="80" xfId="0" applyNumberFormat="1" applyFont="1" applyFill="1" applyBorder="1" applyAlignment="1">
      <alignment vertical="top" wrapText="1"/>
    </xf>
    <xf numFmtId="0" fontId="26" fillId="3" borderId="79" xfId="0" applyFont="1" applyFill="1" applyBorder="1" applyAlignment="1">
      <alignment horizontal="center" vertical="top"/>
    </xf>
    <xf numFmtId="0" fontId="30" fillId="3" borderId="4" xfId="0" applyFont="1" applyFill="1" applyBorder="1" applyAlignment="1">
      <alignment vertical="top" wrapText="1"/>
    </xf>
    <xf numFmtId="0" fontId="26" fillId="3" borderId="5" xfId="0" applyFont="1" applyFill="1" applyBorder="1" applyAlignment="1">
      <alignment vertical="top"/>
    </xf>
    <xf numFmtId="0" fontId="30" fillId="0" borderId="0" xfId="0" applyFont="1" applyAlignment="1">
      <alignment vertical="top"/>
    </xf>
    <xf numFmtId="0" fontId="26" fillId="0" borderId="70" xfId="0" applyFont="1" applyBorder="1" applyAlignment="1">
      <alignment horizontal="center" vertical="top" wrapText="1"/>
    </xf>
    <xf numFmtId="0" fontId="26" fillId="0" borderId="109" xfId="0" applyFont="1" applyBorder="1" applyAlignment="1">
      <alignment horizontal="center"/>
    </xf>
    <xf numFmtId="0" fontId="26" fillId="0" borderId="5" xfId="0" applyFont="1" applyBorder="1" applyAlignment="1">
      <alignment horizontal="center" wrapText="1"/>
    </xf>
    <xf numFmtId="0" fontId="26" fillId="0" borderId="60" xfId="0" applyFont="1" applyBorder="1" applyAlignment="1">
      <alignment horizontal="center"/>
    </xf>
    <xf numFmtId="0" fontId="6" fillId="0" borderId="70" xfId="0" applyFont="1" applyBorder="1" applyAlignment="1">
      <alignment horizontal="right" vertical="top" wrapText="1"/>
    </xf>
    <xf numFmtId="0" fontId="6" fillId="0" borderId="70" xfId="0" applyFont="1" applyBorder="1" applyAlignment="1">
      <alignment horizontal="center" vertical="top" wrapText="1"/>
    </xf>
    <xf numFmtId="0" fontId="39" fillId="6" borderId="70" xfId="0" applyFont="1" applyFill="1" applyBorder="1" applyAlignment="1">
      <alignment horizontal="right" vertical="top" wrapText="1"/>
    </xf>
    <xf numFmtId="0" fontId="25" fillId="6" borderId="110" xfId="0" applyFont="1" applyFill="1" applyBorder="1" applyAlignment="1">
      <alignment horizontal="right" vertical="top" wrapText="1"/>
    </xf>
    <xf numFmtId="0" fontId="39" fillId="6" borderId="65" xfId="0" applyFont="1" applyFill="1" applyBorder="1" applyAlignment="1">
      <alignment horizontal="right" vertical="top" wrapText="1"/>
    </xf>
    <xf numFmtId="0" fontId="25" fillId="6" borderId="65" xfId="0" applyFont="1" applyFill="1" applyBorder="1" applyAlignment="1">
      <alignment horizontal="right" vertical="top"/>
    </xf>
    <xf numFmtId="0" fontId="39" fillId="6" borderId="87" xfId="0" applyFont="1" applyFill="1" applyBorder="1" applyAlignment="1">
      <alignment horizontal="right" vertical="top" wrapText="1"/>
    </xf>
    <xf numFmtId="0" fontId="39" fillId="6" borderId="79" xfId="0" applyFont="1" applyFill="1" applyBorder="1" applyAlignment="1">
      <alignment horizontal="right" vertical="top" wrapText="1"/>
    </xf>
    <xf numFmtId="0" fontId="28" fillId="2" borderId="70" xfId="0" applyFont="1" applyFill="1" applyBorder="1" applyAlignment="1">
      <alignment horizontal="right" vertical="top" wrapText="1"/>
    </xf>
    <xf numFmtId="0" fontId="10" fillId="4" borderId="94" xfId="0" applyFont="1" applyFill="1" applyBorder="1" applyAlignment="1">
      <alignment horizontal="right" vertical="top" wrapText="1"/>
    </xf>
    <xf numFmtId="0" fontId="10" fillId="4" borderId="19" xfId="0" applyFont="1" applyFill="1" applyBorder="1" applyAlignment="1">
      <alignment horizontal="center" vertical="top" wrapText="1"/>
    </xf>
    <xf numFmtId="164" fontId="10" fillId="4" borderId="19" xfId="0" applyNumberFormat="1" applyFont="1" applyFill="1" applyBorder="1" applyAlignment="1">
      <alignment vertical="top" wrapText="1"/>
    </xf>
    <xf numFmtId="164" fontId="10" fillId="4" borderId="115" xfId="0" applyNumberFormat="1" applyFont="1" applyFill="1" applyBorder="1" applyAlignment="1">
      <alignment vertical="top" wrapText="1"/>
    </xf>
    <xf numFmtId="0" fontId="27" fillId="0" borderId="0" xfId="0" applyFont="1" applyAlignment="1">
      <alignment vertical="top"/>
    </xf>
    <xf numFmtId="0" fontId="34" fillId="11" borderId="0" xfId="0" quotePrefix="1" applyFont="1" applyFill="1" applyAlignment="1">
      <alignment horizontal="left" vertical="center"/>
    </xf>
    <xf numFmtId="0" fontId="36" fillId="0" borderId="28" xfId="2" applyFont="1" applyAlignment="1">
      <alignment horizontal="center" vertical="top"/>
    </xf>
    <xf numFmtId="164" fontId="11" fillId="4" borderId="75" xfId="0" applyNumberFormat="1" applyFont="1" applyFill="1" applyBorder="1" applyAlignment="1">
      <alignment vertical="top" wrapText="1"/>
    </xf>
    <xf numFmtId="164" fontId="11" fillId="4" borderId="76" xfId="0" applyNumberFormat="1" applyFont="1" applyFill="1" applyBorder="1" applyAlignment="1">
      <alignment vertical="top" wrapText="1"/>
    </xf>
    <xf numFmtId="0" fontId="25" fillId="0" borderId="34" xfId="0" applyFont="1" applyBorder="1" applyAlignment="1">
      <alignment horizontal="center"/>
    </xf>
    <xf numFmtId="0" fontId="25" fillId="0" borderId="39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top"/>
    </xf>
    <xf numFmtId="0" fontId="25" fillId="0" borderId="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167" fontId="28" fillId="0" borderId="5" xfId="0" applyNumberFormat="1" applyFont="1" applyBorder="1" applyAlignment="1">
      <alignment horizontal="center" vertical="center" wrapText="1"/>
    </xf>
    <xf numFmtId="4" fontId="28" fillId="0" borderId="5" xfId="0" applyNumberFormat="1" applyFont="1" applyBorder="1" applyAlignment="1">
      <alignment horizontal="center" vertical="center" wrapText="1"/>
    </xf>
    <xf numFmtId="165" fontId="29" fillId="0" borderId="52" xfId="0" applyNumberFormat="1" applyFont="1" applyBorder="1" applyAlignment="1">
      <alignment horizontal="center" vertical="center"/>
    </xf>
    <xf numFmtId="165" fontId="29" fillId="0" borderId="50" xfId="0" applyNumberFormat="1" applyFont="1" applyBorder="1" applyAlignment="1">
      <alignment horizontal="center" vertical="center"/>
    </xf>
    <xf numFmtId="0" fontId="10" fillId="4" borderId="67" xfId="0" applyFont="1" applyFill="1" applyBorder="1" applyAlignment="1">
      <alignment horizontal="right" vertical="top" wrapText="1"/>
    </xf>
    <xf numFmtId="0" fontId="6" fillId="3" borderId="39" xfId="0" applyFont="1" applyFill="1" applyBorder="1" applyAlignment="1">
      <alignment horizontal="center" vertical="top" wrapText="1"/>
    </xf>
    <xf numFmtId="0" fontId="26" fillId="3" borderId="39" xfId="0" applyFont="1" applyFill="1" applyBorder="1" applyAlignment="1">
      <alignment horizontal="center" vertical="top" wrapText="1"/>
    </xf>
    <xf numFmtId="0" fontId="26" fillId="2" borderId="39" xfId="0" applyFont="1" applyFill="1" applyBorder="1" applyAlignment="1">
      <alignment horizontal="center" vertical="top" wrapText="1"/>
    </xf>
    <xf numFmtId="0" fontId="6" fillId="3" borderId="62" xfId="0" applyFont="1" applyFill="1" applyBorder="1" applyAlignment="1">
      <alignment horizontal="center" vertical="top" wrapText="1"/>
    </xf>
    <xf numFmtId="0" fontId="10" fillId="4" borderId="116" xfId="0" applyFont="1" applyFill="1" applyBorder="1" applyAlignment="1">
      <alignment horizontal="right" vertical="top" wrapText="1"/>
    </xf>
    <xf numFmtId="0" fontId="6" fillId="3" borderId="117" xfId="0" applyFont="1" applyFill="1" applyBorder="1" applyAlignment="1">
      <alignment horizontal="right" vertical="top" wrapText="1"/>
    </xf>
    <xf numFmtId="0" fontId="26" fillId="3" borderId="117" xfId="0" applyFont="1" applyFill="1" applyBorder="1" applyAlignment="1">
      <alignment horizontal="right" vertical="top" wrapText="1"/>
    </xf>
    <xf numFmtId="0" fontId="26" fillId="2" borderId="117" xfId="0" applyFont="1" applyFill="1" applyBorder="1" applyAlignment="1">
      <alignment horizontal="right" vertical="top" wrapText="1"/>
    </xf>
    <xf numFmtId="0" fontId="26" fillId="0" borderId="70" xfId="0" applyFont="1" applyBorder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26" fillId="0" borderId="77" xfId="0" applyFont="1" applyBorder="1" applyAlignment="1">
      <alignment horizontal="center" vertical="top" wrapText="1"/>
    </xf>
    <xf numFmtId="0" fontId="26" fillId="0" borderId="30" xfId="0" applyFont="1" applyBorder="1" applyAlignment="1">
      <alignment horizontal="center" vertical="top"/>
    </xf>
    <xf numFmtId="0" fontId="26" fillId="0" borderId="60" xfId="0" applyFont="1" applyBorder="1" applyAlignment="1">
      <alignment horizontal="center" vertical="top"/>
    </xf>
    <xf numFmtId="0" fontId="26" fillId="10" borderId="70" xfId="0" applyFont="1" applyFill="1" applyBorder="1" applyAlignment="1">
      <alignment horizontal="right"/>
    </xf>
    <xf numFmtId="0" fontId="26" fillId="0" borderId="5" xfId="0" applyFont="1" applyBorder="1" applyAlignment="1">
      <alignment horizontal="center" vertical="top"/>
    </xf>
    <xf numFmtId="0" fontId="26" fillId="10" borderId="70" xfId="0" applyFont="1" applyFill="1" applyBorder="1" applyAlignment="1">
      <alignment horizontal="right" vertical="top"/>
    </xf>
    <xf numFmtId="164" fontId="26" fillId="3" borderId="5" xfId="0" applyNumberFormat="1" applyFont="1" applyFill="1" applyBorder="1" applyAlignment="1">
      <alignment vertical="top" wrapText="1"/>
    </xf>
    <xf numFmtId="164" fontId="26" fillId="3" borderId="71" xfId="0" applyNumberFormat="1" applyFont="1" applyFill="1" applyBorder="1" applyAlignment="1">
      <alignment vertical="top" wrapText="1"/>
    </xf>
    <xf numFmtId="0" fontId="30" fillId="3" borderId="28" xfId="0" applyFont="1" applyFill="1" applyBorder="1" applyAlignment="1">
      <alignment horizontal="center" vertical="top"/>
    </xf>
    <xf numFmtId="0" fontId="26" fillId="3" borderId="28" xfId="0" applyFont="1" applyFill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6" fillId="3" borderId="77" xfId="0" applyFont="1" applyFill="1" applyBorder="1" applyAlignment="1">
      <alignment horizontal="center" vertical="top" wrapText="1"/>
    </xf>
    <xf numFmtId="0" fontId="26" fillId="3" borderId="30" xfId="0" applyFont="1" applyFill="1" applyBorder="1" applyAlignment="1">
      <alignment horizontal="center" vertical="top" wrapText="1"/>
    </xf>
    <xf numFmtId="0" fontId="28" fillId="2" borderId="70" xfId="0" applyFont="1" applyFill="1" applyBorder="1" applyAlignment="1">
      <alignment horizontal="center" vertical="top"/>
    </xf>
    <xf numFmtId="0" fontId="6" fillId="2" borderId="28" xfId="0" applyFont="1" applyFill="1" applyBorder="1" applyAlignment="1">
      <alignment vertical="top"/>
    </xf>
    <xf numFmtId="0" fontId="1" fillId="0" borderId="28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2" borderId="60" xfId="0" applyFont="1" applyFill="1" applyBorder="1" applyAlignment="1">
      <alignment horizontal="center" vertical="top" wrapText="1"/>
    </xf>
    <xf numFmtId="0" fontId="1" fillId="14" borderId="4" xfId="0" applyFont="1" applyFill="1" applyBorder="1" applyAlignment="1">
      <alignment horizontal="center" vertical="top"/>
    </xf>
    <xf numFmtId="0" fontId="2" fillId="11" borderId="0" xfId="0" applyFont="1" applyFill="1" applyAlignment="1">
      <alignment horizontal="center" vertical="top"/>
    </xf>
    <xf numFmtId="0" fontId="6" fillId="14" borderId="5" xfId="0" applyFont="1" applyFill="1" applyBorder="1" applyAlignment="1">
      <alignment horizontal="center" vertical="top" wrapText="1"/>
    </xf>
    <xf numFmtId="0" fontId="26" fillId="11" borderId="5" xfId="0" applyFont="1" applyFill="1" applyBorder="1" applyAlignment="1">
      <alignment horizontal="center" vertical="top" wrapText="1"/>
    </xf>
    <xf numFmtId="0" fontId="1" fillId="14" borderId="28" xfId="0" applyFont="1" applyFill="1" applyBorder="1" applyAlignment="1">
      <alignment vertical="top"/>
    </xf>
    <xf numFmtId="0" fontId="30" fillId="11" borderId="28" xfId="0" applyFont="1" applyFill="1" applyBorder="1" applyAlignment="1">
      <alignment vertical="top"/>
    </xf>
    <xf numFmtId="0" fontId="28" fillId="14" borderId="5" xfId="0" applyFont="1" applyFill="1" applyBorder="1" applyAlignment="1">
      <alignment horizontal="center" vertical="center" wrapText="1"/>
    </xf>
    <xf numFmtId="0" fontId="28" fillId="14" borderId="5" xfId="0" applyFont="1" applyFill="1" applyBorder="1" applyAlignment="1">
      <alignment horizontal="left" vertical="top" wrapText="1"/>
    </xf>
    <xf numFmtId="4" fontId="28" fillId="14" borderId="5" xfId="0" applyNumberFormat="1" applyFont="1" applyFill="1" applyBorder="1" applyAlignment="1">
      <alignment horizontal="center" vertical="center" wrapText="1"/>
    </xf>
    <xf numFmtId="0" fontId="24" fillId="11" borderId="0" xfId="0" applyFont="1" applyFill="1"/>
    <xf numFmtId="0" fontId="24" fillId="11" borderId="0" xfId="0" applyFont="1" applyFill="1" applyAlignment="1">
      <alignment vertical="top"/>
    </xf>
    <xf numFmtId="167" fontId="28" fillId="14" borderId="5" xfId="0" applyNumberFormat="1" applyFont="1" applyFill="1" applyBorder="1" applyAlignment="1">
      <alignment horizontal="center" vertical="center" wrapText="1"/>
    </xf>
    <xf numFmtId="0" fontId="24" fillId="10" borderId="4" xfId="0" applyFont="1" applyFill="1" applyBorder="1"/>
    <xf numFmtId="0" fontId="27" fillId="11" borderId="0" xfId="0" applyFont="1" applyFill="1"/>
    <xf numFmtId="0" fontId="25" fillId="16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/>
    </xf>
    <xf numFmtId="4" fontId="28" fillId="0" borderId="10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top" wrapText="1"/>
    </xf>
    <xf numFmtId="0" fontId="26" fillId="10" borderId="70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3" borderId="70" xfId="0" applyFont="1" applyFill="1" applyBorder="1" applyAlignment="1">
      <alignment horizontal="center" vertical="center"/>
    </xf>
    <xf numFmtId="0" fontId="26" fillId="2" borderId="120" xfId="0" applyFont="1" applyFill="1" applyBorder="1" applyAlignment="1">
      <alignment horizontal="center" vertical="top" wrapText="1"/>
    </xf>
    <xf numFmtId="0" fontId="26" fillId="2" borderId="121" xfId="0" applyFont="1" applyFill="1" applyBorder="1" applyAlignment="1">
      <alignment horizontal="center" vertical="top" wrapText="1"/>
    </xf>
    <xf numFmtId="164" fontId="26" fillId="2" borderId="125" xfId="0" applyNumberFormat="1" applyFont="1" applyFill="1" applyBorder="1" applyAlignment="1">
      <alignment vertical="top" wrapText="1"/>
    </xf>
    <xf numFmtId="164" fontId="26" fillId="2" borderId="121" xfId="0" applyNumberFormat="1" applyFont="1" applyFill="1" applyBorder="1" applyAlignment="1">
      <alignment vertical="top" wrapText="1"/>
    </xf>
    <xf numFmtId="0" fontId="0" fillId="11" borderId="0" xfId="0" applyFill="1" applyAlignment="1">
      <alignment vertical="top"/>
    </xf>
    <xf numFmtId="0" fontId="0" fillId="11" borderId="0" xfId="0" applyFill="1" applyAlignment="1">
      <alignment horizontal="center" vertical="top"/>
    </xf>
    <xf numFmtId="0" fontId="26" fillId="2" borderId="126" xfId="0" applyFont="1" applyFill="1" applyBorder="1" applyAlignment="1">
      <alignment horizontal="right" vertical="top" wrapText="1"/>
    </xf>
    <xf numFmtId="164" fontId="26" fillId="0" borderId="127" xfId="0" applyNumberFormat="1" applyFont="1" applyBorder="1" applyAlignment="1">
      <alignment vertical="top" wrapText="1"/>
    </xf>
    <xf numFmtId="0" fontId="6" fillId="3" borderId="60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vertical="top" wrapText="1"/>
    </xf>
    <xf numFmtId="0" fontId="3" fillId="2" borderId="28" xfId="0" applyFont="1" applyFill="1" applyBorder="1" applyAlignment="1">
      <alignment vertical="top"/>
    </xf>
    <xf numFmtId="0" fontId="38" fillId="2" borderId="28" xfId="0" applyFont="1" applyFill="1" applyBorder="1" applyAlignment="1">
      <alignment vertical="top"/>
    </xf>
    <xf numFmtId="0" fontId="22" fillId="11" borderId="60" xfId="0" applyFont="1" applyFill="1" applyBorder="1" applyAlignment="1">
      <alignment horizontal="left" vertical="center" wrapText="1"/>
    </xf>
    <xf numFmtId="4" fontId="28" fillId="0" borderId="134" xfId="0" applyNumberFormat="1" applyFont="1" applyBorder="1" applyAlignment="1">
      <alignment horizontal="center" vertical="center"/>
    </xf>
    <xf numFmtId="4" fontId="28" fillId="0" borderId="135" xfId="0" applyNumberFormat="1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167" fontId="28" fillId="0" borderId="123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167" fontId="28" fillId="0" borderId="138" xfId="0" applyNumberFormat="1" applyFont="1" applyBorder="1" applyAlignment="1">
      <alignment horizontal="center" vertical="center"/>
    </xf>
    <xf numFmtId="167" fontId="28" fillId="0" borderId="139" xfId="0" applyNumberFormat="1" applyFont="1" applyBorder="1" applyAlignment="1">
      <alignment horizontal="center" vertical="center"/>
    </xf>
    <xf numFmtId="167" fontId="28" fillId="0" borderId="140" xfId="0" applyNumberFormat="1" applyFont="1" applyBorder="1" applyAlignment="1">
      <alignment horizontal="center" vertical="center"/>
    </xf>
    <xf numFmtId="4" fontId="28" fillId="0" borderId="141" xfId="0" applyNumberFormat="1" applyFont="1" applyBorder="1" applyAlignment="1">
      <alignment horizontal="center" vertical="center"/>
    </xf>
    <xf numFmtId="4" fontId="28" fillId="0" borderId="142" xfId="0" applyNumberFormat="1" applyFont="1" applyBorder="1" applyAlignment="1">
      <alignment horizontal="center" vertical="center"/>
    </xf>
    <xf numFmtId="4" fontId="28" fillId="0" borderId="138" xfId="0" applyNumberFormat="1" applyFont="1" applyBorder="1" applyAlignment="1">
      <alignment horizontal="center" vertical="center"/>
    </xf>
    <xf numFmtId="4" fontId="28" fillId="0" borderId="139" xfId="0" applyNumberFormat="1" applyFont="1" applyBorder="1" applyAlignment="1">
      <alignment horizontal="center" vertical="center"/>
    </xf>
    <xf numFmtId="4" fontId="28" fillId="0" borderId="121" xfId="0" applyNumberFormat="1" applyFont="1" applyBorder="1" applyAlignment="1">
      <alignment horizontal="center" vertical="center" wrapText="1"/>
    </xf>
    <xf numFmtId="4" fontId="28" fillId="0" borderId="140" xfId="0" applyNumberFormat="1" applyFont="1" applyBorder="1" applyAlignment="1">
      <alignment horizontal="center" vertical="center"/>
    </xf>
    <xf numFmtId="4" fontId="28" fillId="0" borderId="143" xfId="0" applyNumberFormat="1" applyFont="1" applyBorder="1" applyAlignment="1">
      <alignment horizontal="center" vertical="center"/>
    </xf>
    <xf numFmtId="4" fontId="28" fillId="0" borderId="137" xfId="0" applyNumberFormat="1" applyFont="1" applyBorder="1" applyAlignment="1">
      <alignment horizontal="center" vertical="center" wrapText="1"/>
    </xf>
    <xf numFmtId="4" fontId="28" fillId="0" borderId="60" xfId="0" applyNumberFormat="1" applyFont="1" applyBorder="1" applyAlignment="1">
      <alignment horizontal="center" vertical="center"/>
    </xf>
    <xf numFmtId="4" fontId="28" fillId="0" borderId="144" xfId="0" applyNumberFormat="1" applyFont="1" applyBorder="1" applyAlignment="1">
      <alignment horizontal="center" vertical="center"/>
    </xf>
    <xf numFmtId="0" fontId="28" fillId="0" borderId="137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145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28" fillId="0" borderId="146" xfId="0" applyFont="1" applyBorder="1" applyAlignment="1">
      <alignment horizontal="center" vertical="center"/>
    </xf>
    <xf numFmtId="2" fontId="26" fillId="2" borderId="5" xfId="0" applyNumberFormat="1" applyFont="1" applyFill="1" applyBorder="1" applyAlignment="1">
      <alignment vertical="top"/>
    </xf>
    <xf numFmtId="4" fontId="28" fillId="14" borderId="19" xfId="0" applyNumberFormat="1" applyFont="1" applyFill="1" applyBorder="1" applyAlignment="1">
      <alignment horizontal="center" vertical="center" wrapText="1"/>
    </xf>
    <xf numFmtId="4" fontId="28" fillId="14" borderId="121" xfId="0" applyNumberFormat="1" applyFont="1" applyFill="1" applyBorder="1" applyAlignment="1">
      <alignment horizontal="center" vertical="center" wrapText="1"/>
    </xf>
    <xf numFmtId="4" fontId="28" fillId="14" borderId="147" xfId="0" applyNumberFormat="1" applyFont="1" applyFill="1" applyBorder="1" applyAlignment="1">
      <alignment horizontal="center" vertical="center" wrapText="1"/>
    </xf>
    <xf numFmtId="0" fontId="28" fillId="10" borderId="145" xfId="0" applyFont="1" applyFill="1" applyBorder="1" applyAlignment="1">
      <alignment horizontal="center" vertical="center"/>
    </xf>
    <xf numFmtId="0" fontId="28" fillId="10" borderId="146" xfId="0" applyFont="1" applyFill="1" applyBorder="1" applyAlignment="1">
      <alignment horizontal="center" vertical="center"/>
    </xf>
    <xf numFmtId="0" fontId="28" fillId="10" borderId="150" xfId="0" applyFont="1" applyFill="1" applyBorder="1" applyAlignment="1">
      <alignment horizontal="center" vertical="center"/>
    </xf>
    <xf numFmtId="0" fontId="28" fillId="10" borderId="151" xfId="0" applyFont="1" applyFill="1" applyBorder="1" applyAlignment="1">
      <alignment horizontal="center" vertical="center"/>
    </xf>
    <xf numFmtId="0" fontId="28" fillId="10" borderId="60" xfId="0" applyFont="1" applyFill="1" applyBorder="1" applyAlignment="1">
      <alignment horizontal="center" vertical="center"/>
    </xf>
    <xf numFmtId="0" fontId="28" fillId="10" borderId="137" xfId="0" applyFont="1" applyFill="1" applyBorder="1" applyAlignment="1">
      <alignment horizontal="center" vertical="center"/>
    </xf>
    <xf numFmtId="0" fontId="28" fillId="10" borderId="60" xfId="0" applyFont="1" applyFill="1" applyBorder="1" applyAlignment="1">
      <alignment horizontal="left" vertical="top" wrapText="1"/>
    </xf>
    <xf numFmtId="0" fontId="28" fillId="10" borderId="151" xfId="0" applyFont="1" applyFill="1" applyBorder="1" applyAlignment="1">
      <alignment horizontal="left" vertical="top" wrapText="1"/>
    </xf>
    <xf numFmtId="167" fontId="28" fillId="10" borderId="136" xfId="0" applyNumberFormat="1" applyFont="1" applyFill="1" applyBorder="1" applyAlignment="1">
      <alignment horizontal="center" vertical="center"/>
    </xf>
    <xf numFmtId="167" fontId="28" fillId="10" borderId="149" xfId="0" applyNumberFormat="1" applyFont="1" applyFill="1" applyBorder="1" applyAlignment="1">
      <alignment horizontal="center" vertical="center"/>
    </xf>
    <xf numFmtId="167" fontId="28" fillId="10" borderId="148" xfId="0" applyNumberFormat="1" applyFont="1" applyFill="1" applyBorder="1" applyAlignment="1">
      <alignment horizontal="center" vertical="center"/>
    </xf>
    <xf numFmtId="4" fontId="28" fillId="10" borderId="123" xfId="0" applyNumberFormat="1" applyFont="1" applyFill="1" applyBorder="1" applyAlignment="1">
      <alignment horizontal="center" vertical="center"/>
    </xf>
    <xf numFmtId="4" fontId="28" fillId="10" borderId="141" xfId="0" applyNumberFormat="1" applyFont="1" applyFill="1" applyBorder="1" applyAlignment="1">
      <alignment horizontal="center" vertical="center"/>
    </xf>
    <xf numFmtId="4" fontId="28" fillId="10" borderId="124" xfId="0" applyNumberFormat="1" applyFont="1" applyFill="1" applyBorder="1" applyAlignment="1">
      <alignment horizontal="center" vertical="center"/>
    </xf>
    <xf numFmtId="4" fontId="28" fillId="10" borderId="142" xfId="0" applyNumberFormat="1" applyFont="1" applyFill="1" applyBorder="1" applyAlignment="1">
      <alignment horizontal="center" vertical="center"/>
    </xf>
    <xf numFmtId="4" fontId="28" fillId="10" borderId="136" xfId="0" applyNumberFormat="1" applyFont="1" applyFill="1" applyBorder="1" applyAlignment="1">
      <alignment horizontal="center" vertical="center"/>
    </xf>
    <xf numFmtId="4" fontId="28" fillId="10" borderId="152" xfId="0" applyNumberFormat="1" applyFont="1" applyFill="1" applyBorder="1" applyAlignment="1">
      <alignment horizontal="center" vertical="center"/>
    </xf>
    <xf numFmtId="4" fontId="28" fillId="10" borderId="134" xfId="0" applyNumberFormat="1" applyFont="1" applyFill="1" applyBorder="1" applyAlignment="1">
      <alignment horizontal="center" vertical="center"/>
    </xf>
    <xf numFmtId="4" fontId="28" fillId="10" borderId="133" xfId="0" applyNumberFormat="1" applyFont="1" applyFill="1" applyBorder="1" applyAlignment="1">
      <alignment horizontal="center" vertical="center"/>
    </xf>
    <xf numFmtId="4" fontId="28" fillId="10" borderId="153" xfId="0" applyNumberFormat="1" applyFont="1" applyFill="1" applyBorder="1" applyAlignment="1">
      <alignment horizontal="center" vertical="center"/>
    </xf>
    <xf numFmtId="0" fontId="25" fillId="3" borderId="159" xfId="0" applyFont="1" applyFill="1" applyBorder="1" applyAlignment="1">
      <alignment horizontal="center"/>
    </xf>
    <xf numFmtId="0" fontId="6" fillId="10" borderId="137" xfId="0" applyFont="1" applyFill="1" applyBorder="1" applyAlignment="1">
      <alignment horizontal="left" vertical="top" wrapText="1"/>
    </xf>
    <xf numFmtId="164" fontId="26" fillId="14" borderId="60" xfId="0" applyNumberFormat="1" applyFont="1" applyFill="1" applyBorder="1" applyAlignment="1">
      <alignment vertical="top" wrapText="1"/>
    </xf>
    <xf numFmtId="164" fontId="26" fillId="14" borderId="80" xfId="0" applyNumberFormat="1" applyFont="1" applyFill="1" applyBorder="1" applyAlignment="1">
      <alignment vertical="top" wrapText="1"/>
    </xf>
    <xf numFmtId="0" fontId="0" fillId="15" borderId="5" xfId="0" applyFill="1" applyBorder="1" applyAlignment="1">
      <alignment vertical="top"/>
    </xf>
    <xf numFmtId="9" fontId="0" fillId="15" borderId="5" xfId="0" applyNumberFormat="1" applyFill="1" applyBorder="1" applyAlignment="1">
      <alignment vertical="top"/>
    </xf>
    <xf numFmtId="9" fontId="0" fillId="11" borderId="5" xfId="0" applyNumberFormat="1" applyFill="1" applyBorder="1" applyAlignment="1">
      <alignment vertical="top"/>
    </xf>
    <xf numFmtId="9" fontId="0" fillId="14" borderId="5" xfId="0" applyNumberFormat="1" applyFill="1" applyBorder="1" applyAlignment="1">
      <alignment vertical="top"/>
    </xf>
    <xf numFmtId="9" fontId="26" fillId="11" borderId="5" xfId="0" applyNumberFormat="1" applyFont="1" applyFill="1" applyBorder="1" applyAlignment="1">
      <alignment vertical="top"/>
    </xf>
    <xf numFmtId="9" fontId="26" fillId="14" borderId="5" xfId="0" applyNumberFormat="1" applyFont="1" applyFill="1" applyBorder="1" applyAlignment="1">
      <alignment vertical="top"/>
    </xf>
    <xf numFmtId="9" fontId="6" fillId="14" borderId="5" xfId="0" applyNumberFormat="1" applyFont="1" applyFill="1" applyBorder="1" applyAlignment="1">
      <alignment vertical="top"/>
    </xf>
    <xf numFmtId="9" fontId="0" fillId="17" borderId="5" xfId="0" applyNumberFormat="1" applyFill="1" applyBorder="1" applyAlignment="1">
      <alignment vertical="top"/>
    </xf>
    <xf numFmtId="9" fontId="0" fillId="18" borderId="5" xfId="0" applyNumberFormat="1" applyFill="1" applyBorder="1" applyAlignment="1">
      <alignment vertical="top"/>
    </xf>
    <xf numFmtId="9" fontId="0" fillId="19" borderId="5" xfId="0" applyNumberFormat="1" applyFill="1" applyBorder="1" applyAlignment="1">
      <alignment vertical="top"/>
    </xf>
    <xf numFmtId="9" fontId="0" fillId="20" borderId="5" xfId="0" applyNumberFormat="1" applyFill="1" applyBorder="1" applyAlignment="1">
      <alignment vertical="top"/>
    </xf>
    <xf numFmtId="9" fontId="26" fillId="3" borderId="5" xfId="0" applyNumberFormat="1" applyFont="1" applyFill="1" applyBorder="1" applyAlignment="1">
      <alignment vertical="top"/>
    </xf>
    <xf numFmtId="9" fontId="0" fillId="3" borderId="5" xfId="0" applyNumberFormat="1" applyFill="1" applyBorder="1" applyAlignment="1">
      <alignment vertical="top"/>
    </xf>
    <xf numFmtId="0" fontId="28" fillId="3" borderId="145" xfId="0" applyFont="1" applyFill="1" applyBorder="1" applyAlignment="1">
      <alignment horizontal="center" vertical="center"/>
    </xf>
    <xf numFmtId="0" fontId="28" fillId="3" borderId="146" xfId="0" applyFont="1" applyFill="1" applyBorder="1" applyAlignment="1">
      <alignment horizontal="center" vertical="center"/>
    </xf>
    <xf numFmtId="0" fontId="28" fillId="3" borderId="150" xfId="0" applyFont="1" applyFill="1" applyBorder="1" applyAlignment="1">
      <alignment horizontal="center" vertical="center"/>
    </xf>
    <xf numFmtId="0" fontId="28" fillId="3" borderId="137" xfId="0" applyFont="1" applyFill="1" applyBorder="1" applyAlignment="1">
      <alignment horizontal="center" vertical="center"/>
    </xf>
    <xf numFmtId="0" fontId="28" fillId="3" borderId="138" xfId="0" applyFont="1" applyFill="1" applyBorder="1" applyAlignment="1">
      <alignment horizontal="center" vertical="center"/>
    </xf>
    <xf numFmtId="0" fontId="28" fillId="3" borderId="161" xfId="0" applyFont="1" applyFill="1" applyBorder="1" applyAlignment="1">
      <alignment horizontal="center" vertical="center"/>
    </xf>
    <xf numFmtId="0" fontId="28" fillId="3" borderId="60" xfId="0" applyFont="1" applyFill="1" applyBorder="1" applyAlignment="1">
      <alignment horizontal="center" vertical="center"/>
    </xf>
    <xf numFmtId="0" fontId="28" fillId="3" borderId="137" xfId="0" applyFont="1" applyFill="1" applyBorder="1" applyAlignment="1">
      <alignment horizontal="left" vertical="top" wrapText="1"/>
    </xf>
    <xf numFmtId="0" fontId="28" fillId="3" borderId="60" xfId="0" applyFont="1" applyFill="1" applyBorder="1" applyAlignment="1">
      <alignment horizontal="left" vertical="top" wrapText="1"/>
    </xf>
    <xf numFmtId="0" fontId="28" fillId="3" borderId="138" xfId="0" applyFont="1" applyFill="1" applyBorder="1" applyAlignment="1">
      <alignment horizontal="left" vertical="top" wrapText="1"/>
    </xf>
    <xf numFmtId="167" fontId="28" fillId="3" borderId="137" xfId="0" applyNumberFormat="1" applyFont="1" applyFill="1" applyBorder="1" applyAlignment="1">
      <alignment horizontal="center" vertical="center"/>
    </xf>
    <xf numFmtId="167" fontId="28" fillId="3" borderId="60" xfId="0" applyNumberFormat="1" applyFont="1" applyFill="1" applyBorder="1" applyAlignment="1">
      <alignment horizontal="center" vertical="center"/>
    </xf>
    <xf numFmtId="167" fontId="28" fillId="3" borderId="161" xfId="0" applyNumberFormat="1" applyFont="1" applyFill="1" applyBorder="1" applyAlignment="1">
      <alignment horizontal="center" vertical="center"/>
    </xf>
    <xf numFmtId="167" fontId="28" fillId="3" borderId="138" xfId="0" applyNumberFormat="1" applyFont="1" applyFill="1" applyBorder="1" applyAlignment="1">
      <alignment horizontal="center" vertical="center"/>
    </xf>
    <xf numFmtId="4" fontId="28" fillId="3" borderId="137" xfId="0" applyNumberFormat="1" applyFont="1" applyFill="1" applyBorder="1" applyAlignment="1">
      <alignment horizontal="center" vertical="center"/>
    </xf>
    <xf numFmtId="4" fontId="28" fillId="3" borderId="60" xfId="0" applyNumberFormat="1" applyFont="1" applyFill="1" applyBorder="1" applyAlignment="1">
      <alignment horizontal="center" vertical="center"/>
    </xf>
    <xf numFmtId="4" fontId="28" fillId="3" borderId="161" xfId="0" applyNumberFormat="1" applyFont="1" applyFill="1" applyBorder="1" applyAlignment="1">
      <alignment horizontal="center" vertical="center"/>
    </xf>
    <xf numFmtId="4" fontId="28" fillId="3" borderId="138" xfId="0" applyNumberFormat="1" applyFont="1" applyFill="1" applyBorder="1" applyAlignment="1">
      <alignment horizontal="center" vertical="center"/>
    </xf>
    <xf numFmtId="4" fontId="28" fillId="3" borderId="160" xfId="0" applyNumberFormat="1" applyFont="1" applyFill="1" applyBorder="1" applyAlignment="1">
      <alignment horizontal="center" vertical="center"/>
    </xf>
    <xf numFmtId="4" fontId="28" fillId="3" borderId="134" xfId="0" applyNumberFormat="1" applyFont="1" applyFill="1" applyBorder="1" applyAlignment="1">
      <alignment horizontal="center" vertical="center"/>
    </xf>
    <xf numFmtId="4" fontId="28" fillId="3" borderId="153" xfId="0" applyNumberFormat="1" applyFont="1" applyFill="1" applyBorder="1" applyAlignment="1">
      <alignment horizontal="center" vertical="center"/>
    </xf>
    <xf numFmtId="0" fontId="6" fillId="3" borderId="146" xfId="0" applyFont="1" applyFill="1" applyBorder="1" applyAlignment="1">
      <alignment horizontal="center" vertical="center"/>
    </xf>
    <xf numFmtId="4" fontId="28" fillId="3" borderId="130" xfId="0" applyNumberFormat="1" applyFont="1" applyFill="1" applyBorder="1" applyAlignment="1">
      <alignment horizontal="center" vertical="center"/>
    </xf>
    <xf numFmtId="0" fontId="28" fillId="3" borderId="163" xfId="0" applyFont="1" applyFill="1" applyBorder="1" applyAlignment="1">
      <alignment horizontal="center" vertical="center"/>
    </xf>
    <xf numFmtId="164" fontId="26" fillId="2" borderId="5" xfId="0" applyNumberFormat="1" applyFont="1" applyFill="1" applyBorder="1" applyAlignment="1">
      <alignment vertical="center" wrapText="1"/>
    </xf>
    <xf numFmtId="164" fontId="26" fillId="2" borderId="71" xfId="0" applyNumberFormat="1" applyFont="1" applyFill="1" applyBorder="1" applyAlignment="1">
      <alignment vertical="center" wrapText="1"/>
    </xf>
    <xf numFmtId="164" fontId="26" fillId="0" borderId="5" xfId="0" applyNumberFormat="1" applyFont="1" applyBorder="1" applyAlignment="1">
      <alignment vertical="center" wrapText="1"/>
    </xf>
    <xf numFmtId="164" fontId="26" fillId="0" borderId="71" xfId="0" applyNumberFormat="1" applyFont="1" applyBorder="1" applyAlignment="1">
      <alignment vertical="center" wrapText="1"/>
    </xf>
    <xf numFmtId="164" fontId="26" fillId="0" borderId="30" xfId="0" applyNumberFormat="1" applyFont="1" applyBorder="1" applyAlignment="1">
      <alignment vertical="center" wrapText="1"/>
    </xf>
    <xf numFmtId="164" fontId="26" fillId="0" borderId="78" xfId="0" applyNumberFormat="1" applyFont="1" applyBorder="1" applyAlignment="1">
      <alignment vertical="center" wrapText="1"/>
    </xf>
    <xf numFmtId="164" fontId="26" fillId="0" borderId="60" xfId="0" applyNumberFormat="1" applyFont="1" applyBorder="1" applyAlignment="1">
      <alignment vertical="center" wrapText="1"/>
    </xf>
    <xf numFmtId="164" fontId="26" fillId="0" borderId="80" xfId="0" applyNumberFormat="1" applyFont="1" applyBorder="1" applyAlignment="1">
      <alignment vertical="center" wrapText="1"/>
    </xf>
    <xf numFmtId="2" fontId="26" fillId="2" borderId="5" xfId="0" applyNumberFormat="1" applyFont="1" applyFill="1" applyBorder="1" applyAlignment="1">
      <alignment vertical="center"/>
    </xf>
    <xf numFmtId="0" fontId="26" fillId="2" borderId="5" xfId="0" applyFont="1" applyFill="1" applyBorder="1" applyAlignment="1">
      <alignment vertical="center"/>
    </xf>
    <xf numFmtId="2" fontId="26" fillId="0" borderId="5" xfId="0" applyNumberFormat="1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4" fontId="28" fillId="3" borderId="160" xfId="0" quotePrefix="1" applyNumberFormat="1" applyFont="1" applyFill="1" applyBorder="1" applyAlignment="1">
      <alignment horizontal="center" vertical="center"/>
    </xf>
    <xf numFmtId="0" fontId="24" fillId="3" borderId="130" xfId="0" applyFont="1" applyFill="1" applyBorder="1" applyAlignment="1">
      <alignment horizontal="left" vertical="top"/>
    </xf>
    <xf numFmtId="0" fontId="24" fillId="3" borderId="130" xfId="0" applyFont="1" applyFill="1" applyBorder="1" applyAlignment="1">
      <alignment horizontal="center" vertical="center"/>
    </xf>
    <xf numFmtId="0" fontId="24" fillId="3" borderId="164" xfId="0" applyFont="1" applyFill="1" applyBorder="1" applyAlignment="1">
      <alignment horizontal="center" vertical="center"/>
    </xf>
    <xf numFmtId="168" fontId="24" fillId="16" borderId="130" xfId="0" applyNumberFormat="1" applyFont="1" applyFill="1" applyBorder="1" applyAlignment="1">
      <alignment horizontal="center" vertical="center"/>
    </xf>
    <xf numFmtId="2" fontId="24" fillId="3" borderId="130" xfId="0" applyNumberFormat="1" applyFont="1" applyFill="1" applyBorder="1" applyAlignment="1">
      <alignment horizontal="center" vertical="center" wrapText="1"/>
    </xf>
    <xf numFmtId="0" fontId="26" fillId="11" borderId="39" xfId="0" applyFont="1" applyFill="1" applyBorder="1" applyAlignment="1">
      <alignment vertical="top"/>
    </xf>
    <xf numFmtId="0" fontId="26" fillId="3" borderId="54" xfId="0" applyFont="1" applyFill="1" applyBorder="1" applyAlignment="1">
      <alignment horizontal="center" vertical="top" wrapText="1"/>
    </xf>
    <xf numFmtId="0" fontId="24" fillId="3" borderId="145" xfId="0" applyFont="1" applyFill="1" applyBorder="1" applyAlignment="1">
      <alignment horizontal="center" vertical="center"/>
    </xf>
    <xf numFmtId="0" fontId="24" fillId="3" borderId="137" xfId="0" applyFont="1" applyFill="1" applyBorder="1" applyAlignment="1">
      <alignment horizontal="center" vertical="center"/>
    </xf>
    <xf numFmtId="0" fontId="24" fillId="3" borderId="13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top"/>
    </xf>
    <xf numFmtId="0" fontId="24" fillId="3" borderId="137" xfId="0" applyFont="1" applyFill="1" applyBorder="1" applyAlignment="1">
      <alignment horizontal="left" vertical="top" wrapText="1"/>
    </xf>
    <xf numFmtId="2" fontId="24" fillId="16" borderId="137" xfId="0" applyNumberFormat="1" applyFont="1" applyFill="1" applyBorder="1" applyAlignment="1">
      <alignment horizontal="center" vertical="center"/>
    </xf>
    <xf numFmtId="2" fontId="24" fillId="3" borderId="137" xfId="0" applyNumberFormat="1" applyFont="1" applyFill="1" applyBorder="1" applyAlignment="1">
      <alignment horizontal="center" vertical="center" wrapText="1"/>
    </xf>
    <xf numFmtId="165" fontId="29" fillId="3" borderId="169" xfId="0" applyNumberFormat="1" applyFont="1" applyFill="1" applyBorder="1" applyAlignment="1">
      <alignment horizontal="center" vertical="center"/>
    </xf>
    <xf numFmtId="165" fontId="29" fillId="3" borderId="170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vertical="center"/>
    </xf>
    <xf numFmtId="2" fontId="2" fillId="10" borderId="5" xfId="0" applyNumberFormat="1" applyFont="1" applyFill="1" applyBorder="1" applyAlignment="1">
      <alignment vertical="center"/>
    </xf>
    <xf numFmtId="0" fontId="26" fillId="3" borderId="5" xfId="0" applyFont="1" applyFill="1" applyBorder="1" applyAlignment="1">
      <alignment horizontal="right" vertical="top"/>
    </xf>
    <xf numFmtId="4" fontId="28" fillId="0" borderId="171" xfId="0" applyNumberFormat="1" applyFont="1" applyBorder="1" applyAlignment="1">
      <alignment horizontal="center" vertical="center"/>
    </xf>
    <xf numFmtId="4" fontId="28" fillId="0" borderId="172" xfId="0" applyNumberFormat="1" applyFont="1" applyBorder="1" applyAlignment="1">
      <alignment horizontal="center" vertical="center"/>
    </xf>
    <xf numFmtId="165" fontId="29" fillId="0" borderId="173" xfId="0" applyNumberFormat="1" applyFont="1" applyBorder="1" applyAlignment="1">
      <alignment horizontal="center" vertical="center"/>
    </xf>
    <xf numFmtId="4" fontId="28" fillId="0" borderId="172" xfId="0" applyNumberFormat="1" applyFont="1" applyBorder="1" applyAlignment="1">
      <alignment horizontal="center" vertical="center" wrapText="1"/>
    </xf>
    <xf numFmtId="167" fontId="28" fillId="0" borderId="174" xfId="0" applyNumberFormat="1" applyFont="1" applyBorder="1" applyAlignment="1">
      <alignment horizontal="center" vertical="center"/>
    </xf>
    <xf numFmtId="4" fontId="28" fillId="0" borderId="175" xfId="0" applyNumberFormat="1" applyFont="1" applyBorder="1" applyAlignment="1">
      <alignment horizontal="center" vertical="center"/>
    </xf>
    <xf numFmtId="0" fontId="28" fillId="0" borderId="17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4" fontId="28" fillId="0" borderId="19" xfId="0" applyNumberFormat="1" applyFont="1" applyBorder="1" applyAlignment="1">
      <alignment horizontal="center" vertical="center" wrapText="1"/>
    </xf>
    <xf numFmtId="0" fontId="28" fillId="0" borderId="141" xfId="0" applyFont="1" applyBorder="1" applyAlignment="1">
      <alignment horizontal="center" vertical="center"/>
    </xf>
    <xf numFmtId="0" fontId="6" fillId="0" borderId="148" xfId="0" applyFont="1" applyBorder="1" applyAlignment="1">
      <alignment horizontal="left" vertical="top" wrapText="1"/>
    </xf>
    <xf numFmtId="0" fontId="6" fillId="0" borderId="121" xfId="0" applyFont="1" applyBorder="1" applyAlignment="1">
      <alignment horizontal="center" vertical="center" wrapText="1"/>
    </xf>
    <xf numFmtId="167" fontId="28" fillId="0" borderId="177" xfId="0" applyNumberFormat="1" applyFont="1" applyBorder="1" applyAlignment="1">
      <alignment horizontal="center" vertical="center"/>
    </xf>
    <xf numFmtId="4" fontId="28" fillId="0" borderId="148" xfId="0" applyNumberFormat="1" applyFont="1" applyBorder="1" applyAlignment="1">
      <alignment horizontal="center" vertical="center"/>
    </xf>
    <xf numFmtId="0" fontId="28" fillId="0" borderId="178" xfId="0" applyFont="1" applyBorder="1" applyAlignment="1">
      <alignment horizontal="center" vertical="center"/>
    </xf>
    <xf numFmtId="0" fontId="6" fillId="0" borderId="179" xfId="0" applyFont="1" applyBorder="1" applyAlignment="1">
      <alignment horizontal="left" vertical="top" wrapText="1"/>
    </xf>
    <xf numFmtId="0" fontId="6" fillId="0" borderId="180" xfId="0" applyFont="1" applyBorder="1" applyAlignment="1">
      <alignment horizontal="center" vertical="center" wrapText="1"/>
    </xf>
    <xf numFmtId="167" fontId="28" fillId="0" borderId="181" xfId="0" applyNumberFormat="1" applyFont="1" applyBorder="1" applyAlignment="1">
      <alignment horizontal="center" vertical="center"/>
    </xf>
    <xf numFmtId="4" fontId="28" fillId="0" borderId="180" xfId="0" applyNumberFormat="1" applyFont="1" applyBorder="1" applyAlignment="1">
      <alignment horizontal="center" vertical="center" wrapText="1"/>
    </xf>
    <xf numFmtId="4" fontId="28" fillId="0" borderId="182" xfId="0" applyNumberFormat="1" applyFont="1" applyBorder="1" applyAlignment="1">
      <alignment horizontal="center" vertical="center"/>
    </xf>
    <xf numFmtId="4" fontId="28" fillId="0" borderId="179" xfId="0" applyNumberFormat="1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6" fillId="0" borderId="149" xfId="0" applyFont="1" applyBorder="1" applyAlignment="1">
      <alignment horizontal="left" vertical="top" wrapText="1"/>
    </xf>
    <xf numFmtId="0" fontId="6" fillId="0" borderId="147" xfId="0" applyFont="1" applyBorder="1" applyAlignment="1">
      <alignment horizontal="center" vertical="center" wrapText="1"/>
    </xf>
    <xf numFmtId="167" fontId="28" fillId="0" borderId="183" xfId="0" applyNumberFormat="1" applyFont="1" applyBorder="1" applyAlignment="1">
      <alignment horizontal="center" vertical="center"/>
    </xf>
    <xf numFmtId="4" fontId="28" fillId="0" borderId="147" xfId="0" applyNumberFormat="1" applyFont="1" applyBorder="1" applyAlignment="1">
      <alignment horizontal="center" vertical="center" wrapText="1"/>
    </xf>
    <xf numFmtId="4" fontId="28" fillId="0" borderId="124" xfId="0" applyNumberFormat="1" applyFont="1" applyBorder="1" applyAlignment="1">
      <alignment horizontal="center" vertical="center"/>
    </xf>
    <xf numFmtId="0" fontId="28" fillId="0" borderId="184" xfId="0" applyFont="1" applyBorder="1" applyAlignment="1">
      <alignment horizontal="center" vertical="center"/>
    </xf>
    <xf numFmtId="4" fontId="28" fillId="0" borderId="185" xfId="0" applyNumberFormat="1" applyFont="1" applyBorder="1" applyAlignment="1">
      <alignment horizontal="center" vertical="center"/>
    </xf>
    <xf numFmtId="4" fontId="28" fillId="0" borderId="153" xfId="0" applyNumberFormat="1" applyFont="1" applyBorder="1" applyAlignment="1">
      <alignment horizontal="center" vertical="center"/>
    </xf>
    <xf numFmtId="0" fontId="6" fillId="0" borderId="166" xfId="0" applyFont="1" applyBorder="1" applyAlignment="1">
      <alignment horizontal="left" vertical="top" wrapText="1"/>
    </xf>
    <xf numFmtId="167" fontId="28" fillId="0" borderId="142" xfId="0" applyNumberFormat="1" applyFont="1" applyBorder="1" applyAlignment="1">
      <alignment horizontal="center" vertical="center"/>
    </xf>
    <xf numFmtId="4" fontId="28" fillId="0" borderId="62" xfId="0" applyNumberFormat="1" applyFont="1" applyBorder="1" applyAlignment="1">
      <alignment horizontal="center" vertical="center"/>
    </xf>
    <xf numFmtId="4" fontId="28" fillId="0" borderId="62" xfId="0" applyNumberFormat="1" applyFont="1" applyBorder="1" applyAlignment="1">
      <alignment horizontal="center" vertical="center" wrapText="1"/>
    </xf>
    <xf numFmtId="4" fontId="28" fillId="0" borderId="167" xfId="0" applyNumberFormat="1" applyFont="1" applyBorder="1" applyAlignment="1">
      <alignment horizontal="center" vertical="center"/>
    </xf>
    <xf numFmtId="0" fontId="28" fillId="0" borderId="163" xfId="0" applyFont="1" applyBorder="1" applyAlignment="1">
      <alignment horizontal="center" vertical="center"/>
    </xf>
    <xf numFmtId="4" fontId="28" fillId="0" borderId="60" xfId="0" applyNumberFormat="1" applyFont="1" applyBorder="1" applyAlignment="1">
      <alignment horizontal="center" vertical="center" wrapText="1"/>
    </xf>
    <xf numFmtId="4" fontId="28" fillId="0" borderId="138" xfId="0" applyNumberFormat="1" applyFont="1" applyBorder="1" applyAlignment="1">
      <alignment horizontal="center" vertical="center" wrapText="1"/>
    </xf>
    <xf numFmtId="0" fontId="25" fillId="0" borderId="159" xfId="0" applyFont="1" applyBorder="1" applyAlignment="1">
      <alignment horizontal="center"/>
    </xf>
    <xf numFmtId="0" fontId="25" fillId="3" borderId="164" xfId="0" applyFont="1" applyFill="1" applyBorder="1" applyAlignment="1">
      <alignment horizontal="center" vertical="center"/>
    </xf>
    <xf numFmtId="0" fontId="25" fillId="3" borderId="186" xfId="0" applyFont="1" applyFill="1" applyBorder="1" applyAlignment="1">
      <alignment horizontal="center"/>
    </xf>
    <xf numFmtId="4" fontId="28" fillId="10" borderId="160" xfId="0" applyNumberFormat="1" applyFont="1" applyFill="1" applyBorder="1" applyAlignment="1">
      <alignment horizontal="center" vertical="center"/>
    </xf>
    <xf numFmtId="4" fontId="28" fillId="10" borderId="187" xfId="0" applyNumberFormat="1" applyFont="1" applyFill="1" applyBorder="1" applyAlignment="1">
      <alignment horizontal="center" vertical="center"/>
    </xf>
    <xf numFmtId="4" fontId="28" fillId="3" borderId="187" xfId="0" applyNumberFormat="1" applyFont="1" applyFill="1" applyBorder="1" applyAlignment="1">
      <alignment horizontal="center" vertical="center"/>
    </xf>
    <xf numFmtId="4" fontId="28" fillId="10" borderId="188" xfId="0" applyNumberFormat="1" applyFont="1" applyFill="1" applyBorder="1" applyAlignment="1">
      <alignment horizontal="center" vertical="center"/>
    </xf>
    <xf numFmtId="4" fontId="28" fillId="10" borderId="176" xfId="0" applyNumberFormat="1" applyFont="1" applyFill="1" applyBorder="1" applyAlignment="1">
      <alignment horizontal="center" vertical="center"/>
    </xf>
    <xf numFmtId="167" fontId="28" fillId="10" borderId="137" xfId="0" applyNumberFormat="1" applyFont="1" applyFill="1" applyBorder="1" applyAlignment="1">
      <alignment horizontal="center" vertical="center"/>
    </xf>
    <xf numFmtId="4" fontId="28" fillId="10" borderId="137" xfId="0" applyNumberFormat="1" applyFont="1" applyFill="1" applyBorder="1" applyAlignment="1">
      <alignment horizontal="center" vertical="center"/>
    </xf>
    <xf numFmtId="4" fontId="28" fillId="10" borderId="189" xfId="0" applyNumberFormat="1" applyFont="1" applyFill="1" applyBorder="1" applyAlignment="1">
      <alignment horizontal="center" vertical="center"/>
    </xf>
    <xf numFmtId="167" fontId="28" fillId="10" borderId="60" xfId="0" applyNumberFormat="1" applyFont="1" applyFill="1" applyBorder="1" applyAlignment="1">
      <alignment horizontal="center" vertical="center"/>
    </xf>
    <xf numFmtId="4" fontId="28" fillId="10" borderId="60" xfId="0" applyNumberFormat="1" applyFont="1" applyFill="1" applyBorder="1" applyAlignment="1">
      <alignment horizontal="center" vertical="center"/>
    </xf>
    <xf numFmtId="0" fontId="28" fillId="10" borderId="163" xfId="0" applyFont="1" applyFill="1" applyBorder="1" applyAlignment="1">
      <alignment horizontal="center" vertical="center"/>
    </xf>
    <xf numFmtId="0" fontId="28" fillId="10" borderId="138" xfId="0" applyFont="1" applyFill="1" applyBorder="1" applyAlignment="1">
      <alignment horizontal="center" vertical="center"/>
    </xf>
    <xf numFmtId="0" fontId="28" fillId="10" borderId="138" xfId="0" applyFont="1" applyFill="1" applyBorder="1" applyAlignment="1">
      <alignment horizontal="left" vertical="top" wrapText="1"/>
    </xf>
    <xf numFmtId="167" fontId="28" fillId="10" borderId="138" xfId="0" applyNumberFormat="1" applyFont="1" applyFill="1" applyBorder="1" applyAlignment="1">
      <alignment horizontal="center" vertical="center"/>
    </xf>
    <xf numFmtId="4" fontId="28" fillId="10" borderId="138" xfId="0" applyNumberFormat="1" applyFont="1" applyFill="1" applyBorder="1" applyAlignment="1">
      <alignment horizontal="center" vertical="center"/>
    </xf>
    <xf numFmtId="4" fontId="28" fillId="10" borderId="151" xfId="0" applyNumberFormat="1" applyFont="1" applyFill="1" applyBorder="1" applyAlignment="1">
      <alignment horizontal="center" vertical="center"/>
    </xf>
    <xf numFmtId="0" fontId="6" fillId="10" borderId="146" xfId="0" applyFont="1" applyFill="1" applyBorder="1" applyAlignment="1">
      <alignment horizontal="center" vertical="center"/>
    </xf>
    <xf numFmtId="0" fontId="28" fillId="10" borderId="137" xfId="0" applyFont="1" applyFill="1" applyBorder="1" applyAlignment="1">
      <alignment horizontal="left" vertical="top" wrapText="1"/>
    </xf>
    <xf numFmtId="4" fontId="24" fillId="10" borderId="160" xfId="0" applyNumberFormat="1" applyFont="1" applyFill="1" applyBorder="1" applyAlignment="1">
      <alignment horizontal="center" vertical="center"/>
    </xf>
    <xf numFmtId="4" fontId="24" fillId="10" borderId="134" xfId="0" applyNumberFormat="1" applyFont="1" applyFill="1" applyBorder="1" applyAlignment="1">
      <alignment horizontal="center" vertical="center"/>
    </xf>
    <xf numFmtId="0" fontId="24" fillId="10" borderId="146" xfId="0" applyFont="1" applyFill="1" applyBorder="1" applyAlignment="1">
      <alignment horizontal="center" vertical="center"/>
    </xf>
    <xf numFmtId="0" fontId="24" fillId="10" borderId="60" xfId="0" applyFont="1" applyFill="1" applyBorder="1" applyAlignment="1">
      <alignment horizontal="center" vertical="center"/>
    </xf>
    <xf numFmtId="167" fontId="24" fillId="10" borderId="60" xfId="0" applyNumberFormat="1" applyFont="1" applyFill="1" applyBorder="1" applyAlignment="1">
      <alignment horizontal="center" vertical="center"/>
    </xf>
    <xf numFmtId="4" fontId="24" fillId="10" borderId="60" xfId="0" applyNumberFormat="1" applyFont="1" applyFill="1" applyBorder="1" applyAlignment="1">
      <alignment horizontal="center" vertical="center"/>
    </xf>
    <xf numFmtId="0" fontId="28" fillId="10" borderId="137" xfId="0" applyFont="1" applyFill="1" applyBorder="1" applyAlignment="1">
      <alignment horizontal="left" vertical="center" wrapText="1"/>
    </xf>
    <xf numFmtId="0" fontId="28" fillId="10" borderId="60" xfId="0" applyFont="1" applyFill="1" applyBorder="1" applyAlignment="1">
      <alignment horizontal="left" vertical="center" wrapText="1"/>
    </xf>
    <xf numFmtId="0" fontId="24" fillId="10" borderId="60" xfId="0" applyFont="1" applyFill="1" applyBorder="1" applyAlignment="1">
      <alignment horizontal="left" vertical="center" wrapText="1"/>
    </xf>
    <xf numFmtId="0" fontId="28" fillId="10" borderId="138" xfId="0" applyFont="1" applyFill="1" applyBorder="1" applyAlignment="1">
      <alignment horizontal="left" vertical="center" wrapText="1"/>
    </xf>
    <xf numFmtId="0" fontId="30" fillId="3" borderId="28" xfId="0" applyFont="1" applyFill="1" applyBorder="1" applyAlignment="1">
      <alignment vertical="top"/>
    </xf>
    <xf numFmtId="0" fontId="6" fillId="14" borderId="5" xfId="0" applyFont="1" applyFill="1" applyBorder="1" applyAlignment="1">
      <alignment horizontal="left" vertical="top" wrapText="1"/>
    </xf>
    <xf numFmtId="0" fontId="26" fillId="11" borderId="5" xfId="0" applyFont="1" applyFill="1" applyBorder="1" applyAlignment="1">
      <alignment vertical="top"/>
    </xf>
    <xf numFmtId="0" fontId="0" fillId="14" borderId="5" xfId="0" applyFill="1" applyBorder="1" applyAlignment="1">
      <alignment vertical="top"/>
    </xf>
    <xf numFmtId="0" fontId="0" fillId="19" borderId="5" xfId="0" applyFill="1" applyBorder="1" applyAlignment="1">
      <alignment vertical="top"/>
    </xf>
    <xf numFmtId="0" fontId="6" fillId="3" borderId="138" xfId="0" applyFont="1" applyFill="1" applyBorder="1" applyAlignment="1">
      <alignment horizontal="left" vertical="top" wrapText="1"/>
    </xf>
    <xf numFmtId="0" fontId="1" fillId="13" borderId="0" xfId="0" applyFont="1" applyFill="1"/>
    <xf numFmtId="0" fontId="1" fillId="14" borderId="28" xfId="0" applyFont="1" applyFill="1" applyBorder="1" applyAlignment="1">
      <alignment horizontal="center" vertical="top"/>
    </xf>
    <xf numFmtId="0" fontId="2" fillId="14" borderId="60" xfId="0" applyFont="1" applyFill="1" applyBorder="1" applyAlignment="1">
      <alignment horizontal="center" vertical="top" wrapText="1"/>
    </xf>
    <xf numFmtId="0" fontId="6" fillId="11" borderId="94" xfId="0" applyFont="1" applyFill="1" applyBorder="1" applyAlignment="1">
      <alignment horizontal="center" vertical="top" wrapText="1"/>
    </xf>
    <xf numFmtId="0" fontId="2" fillId="14" borderId="79" xfId="0" applyFont="1" applyFill="1" applyBorder="1" applyAlignment="1">
      <alignment horizontal="center" vertical="center" wrapText="1"/>
    </xf>
    <xf numFmtId="0" fontId="2" fillId="14" borderId="79" xfId="0" applyFont="1" applyFill="1" applyBorder="1" applyAlignment="1">
      <alignment horizontal="center" vertical="top" wrapText="1"/>
    </xf>
    <xf numFmtId="0" fontId="2" fillId="3" borderId="70" xfId="0" applyFont="1" applyFill="1" applyBorder="1" applyAlignment="1">
      <alignment horizontal="center" vertical="top" wrapText="1"/>
    </xf>
    <xf numFmtId="0" fontId="2" fillId="3" borderId="70" xfId="0" applyFont="1" applyFill="1" applyBorder="1" applyAlignment="1">
      <alignment horizontal="center" vertical="top"/>
    </xf>
    <xf numFmtId="0" fontId="2" fillId="3" borderId="77" xfId="0" applyFont="1" applyFill="1" applyBorder="1" applyAlignment="1">
      <alignment horizontal="center" vertical="top"/>
    </xf>
    <xf numFmtId="0" fontId="2" fillId="11" borderId="70" xfId="0" applyFont="1" applyFill="1" applyBorder="1" applyAlignment="1">
      <alignment horizontal="center"/>
    </xf>
    <xf numFmtId="0" fontId="2" fillId="11" borderId="79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/>
    </xf>
    <xf numFmtId="0" fontId="2" fillId="11" borderId="70" xfId="0" applyFont="1" applyFill="1" applyBorder="1" applyAlignment="1">
      <alignment horizontal="center" vertical="center"/>
    </xf>
    <xf numFmtId="0" fontId="2" fillId="11" borderId="70" xfId="0" applyFont="1" applyFill="1" applyBorder="1" applyAlignment="1">
      <alignment horizontal="center" vertical="top"/>
    </xf>
    <xf numFmtId="0" fontId="2" fillId="0" borderId="108" xfId="0" applyFont="1" applyBorder="1" applyAlignment="1">
      <alignment horizontal="center"/>
    </xf>
    <xf numFmtId="0" fontId="2" fillId="2" borderId="62" xfId="0" applyFont="1" applyFill="1" applyBorder="1" applyAlignment="1">
      <alignment horizontal="center" vertical="top"/>
    </xf>
    <xf numFmtId="0" fontId="2" fillId="2" borderId="60" xfId="0" applyFont="1" applyFill="1" applyBorder="1" applyAlignment="1">
      <alignment horizontal="center" vertical="top"/>
    </xf>
    <xf numFmtId="0" fontId="2" fillId="0" borderId="70" xfId="0" applyFont="1" applyBorder="1" applyAlignment="1">
      <alignment horizontal="right" vertical="top" wrapText="1"/>
    </xf>
    <xf numFmtId="0" fontId="2" fillId="2" borderId="119" xfId="0" applyFont="1" applyFill="1" applyBorder="1" applyAlignment="1">
      <alignment horizontal="right" vertical="top" wrapText="1"/>
    </xf>
    <xf numFmtId="0" fontId="2" fillId="2" borderId="118" xfId="0" applyFont="1" applyFill="1" applyBorder="1" applyAlignment="1">
      <alignment horizontal="right" vertical="top" wrapText="1"/>
    </xf>
    <xf numFmtId="0" fontId="2" fillId="2" borderId="70" xfId="0" applyFont="1" applyFill="1" applyBorder="1" applyAlignment="1">
      <alignment horizontal="right" vertical="top" wrapText="1"/>
    </xf>
    <xf numFmtId="0" fontId="2" fillId="2" borderId="129" xfId="0" applyFont="1" applyFill="1" applyBorder="1" applyAlignment="1">
      <alignment horizontal="right" vertical="top" wrapText="1"/>
    </xf>
    <xf numFmtId="0" fontId="2" fillId="2" borderId="79" xfId="0" applyFont="1" applyFill="1" applyBorder="1" applyAlignment="1">
      <alignment horizontal="right" vertical="top" wrapText="1"/>
    </xf>
    <xf numFmtId="0" fontId="2" fillId="2" borderId="77" xfId="0" applyFont="1" applyFill="1" applyBorder="1" applyAlignment="1">
      <alignment horizontal="right" vertical="top" wrapText="1"/>
    </xf>
    <xf numFmtId="0" fontId="2" fillId="2" borderId="70" xfId="0" applyFont="1" applyFill="1" applyBorder="1" applyAlignment="1">
      <alignment horizontal="right" vertical="top"/>
    </xf>
    <xf numFmtId="0" fontId="2" fillId="0" borderId="129" xfId="0" applyFont="1" applyBorder="1" applyAlignment="1">
      <alignment horizontal="right" vertical="top" wrapText="1"/>
    </xf>
    <xf numFmtId="0" fontId="2" fillId="0" borderId="128" xfId="0" applyFont="1" applyBorder="1" applyAlignment="1">
      <alignment horizontal="right" vertical="top" wrapText="1"/>
    </xf>
    <xf numFmtId="0" fontId="2" fillId="3" borderId="70" xfId="0" applyFont="1" applyFill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0" fontId="24" fillId="3" borderId="146" xfId="0" applyFon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top" wrapText="1"/>
    </xf>
    <xf numFmtId="2" fontId="24" fillId="16" borderId="60" xfId="0" applyNumberFormat="1" applyFont="1" applyFill="1" applyBorder="1" applyAlignment="1">
      <alignment horizontal="center" vertical="center"/>
    </xf>
    <xf numFmtId="2" fontId="24" fillId="3" borderId="60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24" fillId="3" borderId="104" xfId="0" applyFont="1" applyFill="1" applyBorder="1" applyAlignment="1">
      <alignment horizontal="center" vertical="center"/>
    </xf>
    <xf numFmtId="0" fontId="24" fillId="3" borderId="130" xfId="0" applyFont="1" applyFill="1" applyBorder="1" applyAlignment="1">
      <alignment horizontal="center" vertical="center" wrapText="1"/>
    </xf>
    <xf numFmtId="0" fontId="24" fillId="3" borderId="130" xfId="0" applyFont="1" applyFill="1" applyBorder="1" applyAlignment="1">
      <alignment horizontal="left" vertical="center" wrapText="1"/>
    </xf>
    <xf numFmtId="0" fontId="26" fillId="2" borderId="70" xfId="0" applyFont="1" applyFill="1" applyBorder="1" applyAlignment="1">
      <alignment horizontal="center" vertical="center" wrapText="1"/>
    </xf>
    <xf numFmtId="0" fontId="24" fillId="3" borderId="135" xfId="0" applyFont="1" applyFill="1" applyBorder="1" applyAlignment="1">
      <alignment horizontal="center" vertical="center" wrapText="1"/>
    </xf>
    <xf numFmtId="2" fontId="24" fillId="16" borderId="104" xfId="0" applyNumberFormat="1" applyFont="1" applyFill="1" applyBorder="1" applyAlignment="1">
      <alignment horizontal="center" vertical="center"/>
    </xf>
    <xf numFmtId="0" fontId="2" fillId="2" borderId="135" xfId="0" applyFont="1" applyFill="1" applyBorder="1" applyAlignment="1">
      <alignment vertical="top" wrapText="1"/>
    </xf>
    <xf numFmtId="0" fontId="2" fillId="0" borderId="39" xfId="0" applyFont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/>
    </xf>
    <xf numFmtId="0" fontId="24" fillId="3" borderId="104" xfId="0" applyFont="1" applyFill="1" applyBorder="1" applyAlignment="1">
      <alignment horizontal="center" vertical="center" wrapText="1"/>
    </xf>
    <xf numFmtId="0" fontId="24" fillId="3" borderId="186" xfId="0" applyFont="1" applyFill="1" applyBorder="1" applyAlignment="1">
      <alignment horizontal="center" vertical="center"/>
    </xf>
    <xf numFmtId="0" fontId="26" fillId="2" borderId="104" xfId="0" applyFont="1" applyFill="1" applyBorder="1" applyAlignment="1">
      <alignment horizontal="center" vertical="center" wrapText="1"/>
    </xf>
    <xf numFmtId="0" fontId="24" fillId="3" borderId="190" xfId="0" applyFont="1" applyFill="1" applyBorder="1" applyAlignment="1">
      <alignment horizontal="left" vertical="center" wrapText="1"/>
    </xf>
    <xf numFmtId="0" fontId="24" fillId="3" borderId="191" xfId="0" applyFont="1" applyFill="1" applyBorder="1" applyAlignment="1">
      <alignment horizontal="center" vertical="center" wrapText="1"/>
    </xf>
    <xf numFmtId="0" fontId="24" fillId="3" borderId="190" xfId="0" applyFont="1" applyFill="1" applyBorder="1" applyAlignment="1">
      <alignment horizontal="center" vertical="center" wrapText="1"/>
    </xf>
    <xf numFmtId="0" fontId="6" fillId="14" borderId="130" xfId="0" applyFont="1" applyFill="1" applyBorder="1" applyAlignment="1">
      <alignment horizontal="center" vertical="top" wrapText="1"/>
    </xf>
    <xf numFmtId="0" fontId="6" fillId="14" borderId="5" xfId="0" applyFont="1" applyFill="1" applyBorder="1" applyAlignment="1">
      <alignment vertical="top"/>
    </xf>
    <xf numFmtId="4" fontId="6" fillId="14" borderId="5" xfId="0" applyNumberFormat="1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vertical="top"/>
    </xf>
    <xf numFmtId="0" fontId="2" fillId="11" borderId="0" xfId="0" applyFont="1" applyFill="1" applyAlignment="1">
      <alignment vertical="top"/>
    </xf>
    <xf numFmtId="0" fontId="11" fillId="4" borderId="66" xfId="0" applyFont="1" applyFill="1" applyBorder="1" applyAlignment="1">
      <alignment horizontal="left" vertical="top"/>
    </xf>
    <xf numFmtId="0" fontId="2" fillId="0" borderId="67" xfId="0" applyFont="1" applyBorder="1" applyAlignment="1">
      <alignment vertical="top"/>
    </xf>
    <xf numFmtId="0" fontId="11" fillId="6" borderId="54" xfId="0" applyFont="1" applyFill="1" applyBorder="1" applyAlignment="1">
      <alignment horizontal="left" vertical="top"/>
    </xf>
    <xf numFmtId="0" fontId="2" fillId="0" borderId="39" xfId="0" applyFont="1" applyBorder="1" applyAlignment="1">
      <alignment vertical="top"/>
    </xf>
    <xf numFmtId="0" fontId="2" fillId="11" borderId="54" xfId="0" applyFont="1" applyFill="1" applyBorder="1" applyAlignment="1">
      <alignment horizontal="left" vertical="top" wrapText="1"/>
    </xf>
    <xf numFmtId="0" fontId="26" fillId="11" borderId="39" xfId="0" applyFont="1" applyFill="1" applyBorder="1" applyAlignment="1">
      <alignment horizontal="left" vertical="top" wrapText="1"/>
    </xf>
    <xf numFmtId="2" fontId="26" fillId="14" borderId="54" xfId="0" applyNumberFormat="1" applyFont="1" applyFill="1" applyBorder="1" applyAlignment="1">
      <alignment horizontal="center" vertical="top" wrapText="1"/>
    </xf>
    <xf numFmtId="0" fontId="26" fillId="11" borderId="39" xfId="0" applyFont="1" applyFill="1" applyBorder="1" applyAlignment="1">
      <alignment vertical="top"/>
    </xf>
    <xf numFmtId="0" fontId="26" fillId="2" borderId="54" xfId="0" applyFont="1" applyFill="1" applyBorder="1" applyAlignment="1">
      <alignment vertical="top" wrapText="1"/>
    </xf>
    <xf numFmtId="0" fontId="26" fillId="0" borderId="39" xfId="0" applyFont="1" applyBorder="1" applyAlignment="1">
      <alignment vertical="top" wrapText="1"/>
    </xf>
    <xf numFmtId="0" fontId="0" fillId="6" borderId="72" xfId="0" applyFill="1" applyBorder="1" applyAlignment="1">
      <alignment horizontal="right" vertical="top"/>
    </xf>
    <xf numFmtId="0" fontId="0" fillId="6" borderId="73" xfId="0" applyFill="1" applyBorder="1" applyAlignment="1">
      <alignment horizontal="right" vertical="top"/>
    </xf>
    <xf numFmtId="0" fontId="2" fillId="0" borderId="73" xfId="0" applyFont="1" applyBorder="1" applyAlignment="1">
      <alignment vertical="top"/>
    </xf>
    <xf numFmtId="0" fontId="2" fillId="0" borderId="74" xfId="0" applyFont="1" applyBorder="1" applyAlignment="1">
      <alignment vertical="top"/>
    </xf>
    <xf numFmtId="0" fontId="6" fillId="6" borderId="72" xfId="0" applyFont="1" applyFill="1" applyBorder="1" applyAlignment="1">
      <alignment horizontal="right" vertical="top" wrapText="1"/>
    </xf>
    <xf numFmtId="0" fontId="6" fillId="6" borderId="73" xfId="0" applyFont="1" applyFill="1" applyBorder="1" applyAlignment="1">
      <alignment horizontal="right" vertical="top" wrapText="1"/>
    </xf>
    <xf numFmtId="2" fontId="26" fillId="11" borderId="54" xfId="0" applyNumberFormat="1" applyFont="1" applyFill="1" applyBorder="1" applyAlignment="1">
      <alignment horizontal="center" vertical="top" wrapText="1"/>
    </xf>
    <xf numFmtId="2" fontId="26" fillId="11" borderId="39" xfId="0" applyNumberFormat="1" applyFont="1" applyFill="1" applyBorder="1" applyAlignment="1">
      <alignment horizontal="center" vertical="top" wrapText="1"/>
    </xf>
    <xf numFmtId="0" fontId="2" fillId="2" borderId="54" xfId="0" applyFont="1" applyFill="1" applyBorder="1" applyAlignment="1">
      <alignment horizontal="left" vertical="top" wrapText="1"/>
    </xf>
    <xf numFmtId="0" fontId="26" fillId="2" borderId="54" xfId="0" applyFont="1" applyFill="1" applyBorder="1" applyAlignment="1">
      <alignment horizontal="left" vertical="top" wrapText="1"/>
    </xf>
    <xf numFmtId="0" fontId="26" fillId="0" borderId="39" xfId="0" applyFont="1" applyBorder="1" applyAlignment="1">
      <alignment vertical="top"/>
    </xf>
    <xf numFmtId="0" fontId="26" fillId="0" borderId="54" xfId="0" applyFont="1" applyBorder="1" applyAlignment="1">
      <alignment horizontal="left" vertical="top" wrapText="1"/>
    </xf>
    <xf numFmtId="0" fontId="11" fillId="6" borderId="66" xfId="0" applyFont="1" applyFill="1" applyBorder="1" applyAlignment="1">
      <alignment horizontal="left" vertical="top"/>
    </xf>
    <xf numFmtId="0" fontId="6" fillId="6" borderId="66" xfId="0" applyFont="1" applyFill="1" applyBorder="1" applyAlignment="1">
      <alignment horizontal="center" vertical="top" wrapText="1"/>
    </xf>
    <xf numFmtId="0" fontId="26" fillId="2" borderId="39" xfId="0" applyFont="1" applyFill="1" applyBorder="1" applyAlignment="1">
      <alignment horizontal="left" vertical="top" wrapText="1"/>
    </xf>
    <xf numFmtId="2" fontId="26" fillId="14" borderId="39" xfId="0" applyNumberFormat="1" applyFont="1" applyFill="1" applyBorder="1" applyAlignment="1">
      <alignment horizontal="center" vertical="top" wrapText="1"/>
    </xf>
    <xf numFmtId="2" fontId="6" fillId="14" borderId="54" xfId="0" applyNumberFormat="1" applyFont="1" applyFill="1" applyBorder="1" applyAlignment="1">
      <alignment horizontal="center" vertical="top" wrapText="1"/>
    </xf>
    <xf numFmtId="2" fontId="6" fillId="14" borderId="39" xfId="0" applyNumberFormat="1" applyFont="1" applyFill="1" applyBorder="1" applyAlignment="1">
      <alignment horizontal="center" vertical="top" wrapText="1"/>
    </xf>
    <xf numFmtId="0" fontId="0" fillId="6" borderId="54" xfId="0" applyFill="1" applyBorder="1" applyAlignment="1">
      <alignment horizontal="center" vertical="top" wrapText="1"/>
    </xf>
    <xf numFmtId="2" fontId="26" fillId="14" borderId="60" xfId="0" applyNumberFormat="1" applyFont="1" applyFill="1" applyBorder="1" applyAlignment="1">
      <alignment horizontal="center" vertical="top"/>
    </xf>
    <xf numFmtId="2" fontId="26" fillId="2" borderId="57" xfId="0" applyNumberFormat="1" applyFont="1" applyFill="1" applyBorder="1" applyAlignment="1">
      <alignment horizontal="center" vertical="top"/>
    </xf>
    <xf numFmtId="0" fontId="26" fillId="0" borderId="59" xfId="0" applyFont="1" applyBorder="1" applyAlignment="1">
      <alignment vertical="top"/>
    </xf>
    <xf numFmtId="2" fontId="26" fillId="2" borderId="54" xfId="0" applyNumberFormat="1" applyFont="1" applyFill="1" applyBorder="1" applyAlignment="1">
      <alignment horizontal="center" vertical="top"/>
    </xf>
    <xf numFmtId="2" fontId="6" fillId="6" borderId="66" xfId="0" applyNumberFormat="1" applyFont="1" applyFill="1" applyBorder="1" applyAlignment="1">
      <alignment horizontal="center" vertical="top" wrapText="1"/>
    </xf>
    <xf numFmtId="2" fontId="26" fillId="14" borderId="54" xfId="0" applyNumberFormat="1" applyFont="1" applyFill="1" applyBorder="1" applyAlignment="1">
      <alignment horizontal="center" vertical="top"/>
    </xf>
    <xf numFmtId="2" fontId="26" fillId="14" borderId="55" xfId="0" applyNumberFormat="1" applyFont="1" applyFill="1" applyBorder="1" applyAlignment="1">
      <alignment horizontal="center" vertical="top"/>
    </xf>
    <xf numFmtId="0" fontId="26" fillId="11" borderId="56" xfId="0" applyFont="1" applyFill="1" applyBorder="1" applyAlignment="1">
      <alignment vertical="top"/>
    </xf>
    <xf numFmtId="0" fontId="6" fillId="6" borderId="81" xfId="0" applyFont="1" applyFill="1" applyBorder="1" applyAlignment="1">
      <alignment horizontal="right" vertical="top" wrapText="1"/>
    </xf>
    <xf numFmtId="0" fontId="6" fillId="6" borderId="82" xfId="0" applyFont="1" applyFill="1" applyBorder="1" applyAlignment="1">
      <alignment horizontal="right" vertical="top" wrapText="1"/>
    </xf>
    <xf numFmtId="0" fontId="2" fillId="0" borderId="82" xfId="0" applyFont="1" applyBorder="1" applyAlignment="1">
      <alignment vertical="top"/>
    </xf>
    <xf numFmtId="0" fontId="2" fillId="0" borderId="83" xfId="0" applyFont="1" applyBorder="1" applyAlignment="1">
      <alignment vertical="top"/>
    </xf>
    <xf numFmtId="0" fontId="2" fillId="2" borderId="61" xfId="0" applyFont="1" applyFill="1" applyBorder="1" applyAlignment="1">
      <alignment horizontal="left" vertical="top" wrapText="1"/>
    </xf>
    <xf numFmtId="0" fontId="26" fillId="2" borderId="62" xfId="0" applyFont="1" applyFill="1" applyBorder="1" applyAlignment="1">
      <alignment horizontal="left" vertical="top" wrapText="1"/>
    </xf>
    <xf numFmtId="0" fontId="26" fillId="14" borderId="61" xfId="0" applyFont="1" applyFill="1" applyBorder="1" applyAlignment="1">
      <alignment horizontal="center" vertical="top"/>
    </xf>
    <xf numFmtId="0" fontId="26" fillId="14" borderId="62" xfId="0" applyFont="1" applyFill="1" applyBorder="1" applyAlignment="1">
      <alignment horizontal="center" vertical="top"/>
    </xf>
    <xf numFmtId="2" fontId="26" fillId="14" borderId="60" xfId="0" applyNumberFormat="1" applyFont="1" applyFill="1" applyBorder="1" applyAlignment="1">
      <alignment horizontal="center" vertical="top" wrapText="1"/>
    </xf>
    <xf numFmtId="2" fontId="26" fillId="11" borderId="60" xfId="0" applyNumberFormat="1" applyFont="1" applyFill="1" applyBorder="1" applyAlignment="1">
      <alignment vertical="top"/>
    </xf>
    <xf numFmtId="0" fontId="0" fillId="4" borderId="66" xfId="0" applyFill="1" applyBorder="1" applyAlignment="1">
      <alignment horizontal="center" vertical="top" wrapText="1"/>
    </xf>
    <xf numFmtId="0" fontId="6" fillId="4" borderId="72" xfId="0" applyFont="1" applyFill="1" applyBorder="1" applyAlignment="1">
      <alignment horizontal="right" vertical="top" wrapText="1"/>
    </xf>
    <xf numFmtId="0" fontId="6" fillId="4" borderId="73" xfId="0" applyFont="1" applyFill="1" applyBorder="1" applyAlignment="1">
      <alignment horizontal="right" vertical="top" wrapText="1"/>
    </xf>
    <xf numFmtId="0" fontId="6" fillId="6" borderId="86" xfId="0" applyFont="1" applyFill="1" applyBorder="1" applyAlignment="1">
      <alignment horizontal="right" vertical="top" wrapText="1"/>
    </xf>
    <xf numFmtId="0" fontId="6" fillId="6" borderId="53" xfId="0" applyFont="1" applyFill="1" applyBorder="1" applyAlignment="1">
      <alignment horizontal="right" vertical="top" wrapText="1"/>
    </xf>
    <xf numFmtId="0" fontId="2" fillId="0" borderId="53" xfId="0" applyFont="1" applyBorder="1" applyAlignment="1">
      <alignment vertical="top"/>
    </xf>
    <xf numFmtId="0" fontId="2" fillId="3" borderId="54" xfId="0" applyFont="1" applyFill="1" applyBorder="1" applyAlignment="1">
      <alignment horizontal="left" vertical="top" wrapText="1"/>
    </xf>
    <xf numFmtId="0" fontId="26" fillId="14" borderId="57" xfId="0" applyFont="1" applyFill="1" applyBorder="1" applyAlignment="1">
      <alignment horizontal="center" vertical="top" wrapText="1"/>
    </xf>
    <xf numFmtId="0" fontId="26" fillId="11" borderId="59" xfId="0" applyFont="1" applyFill="1" applyBorder="1" applyAlignment="1">
      <alignment vertical="top"/>
    </xf>
    <xf numFmtId="2" fontId="26" fillId="14" borderId="57" xfId="0" applyNumberFormat="1" applyFont="1" applyFill="1" applyBorder="1" applyAlignment="1">
      <alignment horizontal="center" vertical="top" wrapText="1"/>
    </xf>
    <xf numFmtId="2" fontId="26" fillId="11" borderId="59" xfId="0" applyNumberFormat="1" applyFont="1" applyFill="1" applyBorder="1" applyAlignment="1">
      <alignment vertical="top"/>
    </xf>
    <xf numFmtId="0" fontId="26" fillId="3" borderId="54" xfId="0" applyFont="1" applyFill="1" applyBorder="1" applyAlignment="1">
      <alignment horizontal="left" vertical="top" wrapText="1"/>
    </xf>
    <xf numFmtId="2" fontId="26" fillId="3" borderId="54" xfId="0" applyNumberFormat="1" applyFont="1" applyFill="1" applyBorder="1" applyAlignment="1">
      <alignment horizontal="center" vertical="top" wrapText="1"/>
    </xf>
    <xf numFmtId="2" fontId="26" fillId="11" borderId="61" xfId="0" applyNumberFormat="1" applyFont="1" applyFill="1" applyBorder="1" applyAlignment="1">
      <alignment horizontal="center" vertical="top" wrapText="1"/>
    </xf>
    <xf numFmtId="2" fontId="26" fillId="11" borderId="62" xfId="0" applyNumberFormat="1" applyFont="1" applyFill="1" applyBorder="1" applyAlignment="1">
      <alignment horizontal="center" vertical="top" wrapText="1"/>
    </xf>
    <xf numFmtId="0" fontId="2" fillId="0" borderId="61" xfId="0" applyFont="1" applyBorder="1" applyAlignment="1">
      <alignment horizontal="left" vertical="top" wrapText="1"/>
    </xf>
    <xf numFmtId="0" fontId="26" fillId="0" borderId="62" xfId="0" applyFont="1" applyBorder="1" applyAlignment="1">
      <alignment horizontal="left" vertical="top" wrapText="1"/>
    </xf>
    <xf numFmtId="0" fontId="26" fillId="2" borderId="57" xfId="0" applyFont="1" applyFill="1" applyBorder="1" applyAlignment="1">
      <alignment horizontal="left" vertical="top" wrapText="1"/>
    </xf>
    <xf numFmtId="0" fontId="26" fillId="0" borderId="59" xfId="0" applyFont="1" applyBorder="1" applyAlignment="1">
      <alignment vertical="top" wrapText="1"/>
    </xf>
    <xf numFmtId="0" fontId="2" fillId="2" borderId="57" xfId="0" applyFont="1" applyFill="1" applyBorder="1" applyAlignment="1">
      <alignment horizontal="left" vertical="top" wrapText="1"/>
    </xf>
    <xf numFmtId="0" fontId="26" fillId="2" borderId="55" xfId="0" applyFont="1" applyFill="1" applyBorder="1" applyAlignment="1">
      <alignment horizontal="left" vertical="top" wrapText="1"/>
    </xf>
    <xf numFmtId="0" fontId="26" fillId="0" borderId="56" xfId="0" applyFont="1" applyBorder="1" applyAlignment="1">
      <alignment vertical="top" wrapText="1"/>
    </xf>
    <xf numFmtId="0" fontId="0" fillId="6" borderId="66" xfId="0" applyFill="1" applyBorder="1" applyAlignment="1">
      <alignment horizontal="center" vertical="top" wrapText="1"/>
    </xf>
    <xf numFmtId="0" fontId="0" fillId="6" borderId="81" xfId="0" applyFill="1" applyBorder="1" applyAlignment="1">
      <alignment horizontal="right" vertical="top"/>
    </xf>
    <xf numFmtId="0" fontId="0" fillId="6" borderId="82" xfId="0" applyFill="1" applyBorder="1" applyAlignment="1">
      <alignment horizontal="right" vertical="top"/>
    </xf>
    <xf numFmtId="0" fontId="26" fillId="2" borderId="61" xfId="0" applyFont="1" applyFill="1" applyBorder="1" applyAlignment="1">
      <alignment horizontal="left" vertical="top" wrapText="1"/>
    </xf>
    <xf numFmtId="0" fontId="26" fillId="0" borderId="62" xfId="0" applyFont="1" applyBorder="1" applyAlignment="1">
      <alignment vertical="top" wrapText="1"/>
    </xf>
    <xf numFmtId="0" fontId="26" fillId="0" borderId="122" xfId="0" applyFont="1" applyBorder="1" applyAlignment="1">
      <alignment horizontal="left" vertical="top" wrapText="1"/>
    </xf>
    <xf numFmtId="0" fontId="26" fillId="0" borderId="123" xfId="0" applyFont="1" applyBorder="1" applyAlignment="1">
      <alignment vertical="top" wrapText="1"/>
    </xf>
    <xf numFmtId="0" fontId="26" fillId="14" borderId="60" xfId="0" applyFont="1" applyFill="1" applyBorder="1" applyAlignment="1">
      <alignment horizontal="center" vertical="top"/>
    </xf>
    <xf numFmtId="0" fontId="26" fillId="11" borderId="60" xfId="0" applyFont="1" applyFill="1" applyBorder="1" applyAlignment="1">
      <alignment vertical="top"/>
    </xf>
    <xf numFmtId="2" fontId="26" fillId="14" borderId="55" xfId="0" applyNumberFormat="1" applyFont="1" applyFill="1" applyBorder="1" applyAlignment="1">
      <alignment horizontal="center" vertical="top" wrapText="1"/>
    </xf>
    <xf numFmtId="0" fontId="2" fillId="2" borderId="55" xfId="0" applyFont="1" applyFill="1" applyBorder="1" applyAlignment="1">
      <alignment horizontal="left" vertical="top" wrapText="1"/>
    </xf>
    <xf numFmtId="0" fontId="26" fillId="0" borderId="56" xfId="0" applyFont="1" applyBorder="1" applyAlignment="1">
      <alignment vertical="top"/>
    </xf>
    <xf numFmtId="0" fontId="2" fillId="2" borderId="60" xfId="0" applyFont="1" applyFill="1" applyBorder="1" applyAlignment="1">
      <alignment horizontal="left" vertical="top" wrapText="1"/>
    </xf>
    <xf numFmtId="0" fontId="26" fillId="2" borderId="60" xfId="0" applyFont="1" applyFill="1" applyBorder="1" applyAlignment="1">
      <alignment horizontal="left" vertical="top" wrapText="1"/>
    </xf>
    <xf numFmtId="0" fontId="26" fillId="11" borderId="60" xfId="0" applyFont="1" applyFill="1" applyBorder="1" applyAlignment="1">
      <alignment horizontal="center" vertical="top"/>
    </xf>
    <xf numFmtId="0" fontId="26" fillId="11" borderId="55" xfId="0" applyFont="1" applyFill="1" applyBorder="1" applyAlignment="1">
      <alignment horizontal="center" vertical="top"/>
    </xf>
    <xf numFmtId="0" fontId="26" fillId="0" borderId="61" xfId="0" applyFont="1" applyBorder="1" applyAlignment="1">
      <alignment horizontal="left" vertical="top" wrapText="1"/>
    </xf>
    <xf numFmtId="2" fontId="26" fillId="3" borderId="54" xfId="0" applyNumberFormat="1" applyFont="1" applyFill="1" applyBorder="1" applyAlignment="1">
      <alignment horizontal="center" vertical="top"/>
    </xf>
    <xf numFmtId="0" fontId="10" fillId="4" borderId="17" xfId="0" applyFont="1" applyFill="1" applyBorder="1" applyAlignment="1">
      <alignment horizontal="center" vertical="top" wrapText="1"/>
    </xf>
    <xf numFmtId="0" fontId="2" fillId="0" borderId="59" xfId="0" applyFont="1" applyBorder="1" applyAlignment="1">
      <alignment vertical="top"/>
    </xf>
    <xf numFmtId="0" fontId="11" fillId="4" borderId="17" xfId="0" applyFont="1" applyFill="1" applyBorder="1" applyAlignment="1">
      <alignment horizontal="left" vertical="top"/>
    </xf>
    <xf numFmtId="0" fontId="2" fillId="11" borderId="39" xfId="0" applyFont="1" applyFill="1" applyBorder="1" applyAlignment="1">
      <alignment vertical="top"/>
    </xf>
    <xf numFmtId="0" fontId="2" fillId="14" borderId="54" xfId="0" applyFont="1" applyFill="1" applyBorder="1" applyAlignment="1">
      <alignment horizontal="left" vertical="top" wrapText="1"/>
    </xf>
    <xf numFmtId="0" fontId="26" fillId="11" borderId="39" xfId="0" applyFont="1" applyFill="1" applyBorder="1" applyAlignment="1">
      <alignment vertical="top" wrapText="1"/>
    </xf>
    <xf numFmtId="0" fontId="2" fillId="14" borderId="60" xfId="0" applyFont="1" applyFill="1" applyBorder="1" applyAlignment="1">
      <alignment horizontal="left" vertical="top" wrapText="1"/>
    </xf>
    <xf numFmtId="0" fontId="26" fillId="11" borderId="60" xfId="0" applyFont="1" applyFill="1" applyBorder="1" applyAlignment="1">
      <alignment vertical="top" wrapText="1"/>
    </xf>
    <xf numFmtId="0" fontId="0" fillId="6" borderId="72" xfId="0" applyFill="1" applyBorder="1" applyAlignment="1">
      <alignment horizontal="right" vertical="top" wrapText="1"/>
    </xf>
    <xf numFmtId="0" fontId="0" fillId="6" borderId="73" xfId="0" applyFill="1" applyBorder="1" applyAlignment="1">
      <alignment horizontal="right" vertical="top" wrapText="1"/>
    </xf>
    <xf numFmtId="0" fontId="6" fillId="6" borderId="111" xfId="0" applyFont="1" applyFill="1" applyBorder="1" applyAlignment="1">
      <alignment horizontal="center" vertical="top" wrapText="1"/>
    </xf>
    <xf numFmtId="0" fontId="2" fillId="0" borderId="99" xfId="0" applyFont="1" applyBorder="1" applyAlignment="1">
      <alignment vertical="top"/>
    </xf>
    <xf numFmtId="0" fontId="2" fillId="14" borderId="61" xfId="0" applyFont="1" applyFill="1" applyBorder="1" applyAlignment="1">
      <alignment horizontal="left" vertical="center" wrapText="1"/>
    </xf>
    <xf numFmtId="0" fontId="26" fillId="14" borderId="62" xfId="0" applyFont="1" applyFill="1" applyBorder="1" applyAlignment="1">
      <alignment horizontal="left" vertical="center" wrapText="1"/>
    </xf>
    <xf numFmtId="0" fontId="2" fillId="14" borderId="61" xfId="0" applyFont="1" applyFill="1" applyBorder="1" applyAlignment="1">
      <alignment horizontal="left" vertical="top" wrapText="1"/>
    </xf>
    <xf numFmtId="0" fontId="26" fillId="14" borderId="62" xfId="0" applyFont="1" applyFill="1" applyBorder="1" applyAlignment="1">
      <alignment horizontal="left" vertical="top" wrapText="1"/>
    </xf>
    <xf numFmtId="2" fontId="26" fillId="14" borderId="61" xfId="0" applyNumberFormat="1" applyFont="1" applyFill="1" applyBorder="1" applyAlignment="1">
      <alignment horizontal="center" vertical="top" wrapText="1"/>
    </xf>
    <xf numFmtId="2" fontId="26" fillId="14" borderId="62" xfId="0" applyNumberFormat="1" applyFont="1" applyFill="1" applyBorder="1" applyAlignment="1">
      <alignment horizontal="center" vertical="top" wrapText="1"/>
    </xf>
    <xf numFmtId="0" fontId="26" fillId="3" borderId="55" xfId="0" applyFont="1" applyFill="1" applyBorder="1" applyAlignment="1">
      <alignment horizontal="left" vertical="top" wrapText="1"/>
    </xf>
    <xf numFmtId="0" fontId="26" fillId="11" borderId="56" xfId="0" applyFont="1" applyFill="1" applyBorder="1" applyAlignment="1">
      <alignment vertical="top" wrapText="1"/>
    </xf>
    <xf numFmtId="0" fontId="26" fillId="14" borderId="54" xfId="0" applyFont="1" applyFill="1" applyBorder="1" applyAlignment="1">
      <alignment horizontal="left" vertical="top" wrapText="1"/>
    </xf>
    <xf numFmtId="0" fontId="6" fillId="6" borderId="90" xfId="0" applyFont="1" applyFill="1" applyBorder="1" applyAlignment="1">
      <alignment horizontal="right" vertical="top" wrapText="1"/>
    </xf>
    <xf numFmtId="0" fontId="6" fillId="6" borderId="114" xfId="0" applyFont="1" applyFill="1" applyBorder="1" applyAlignment="1">
      <alignment horizontal="right" vertical="top" wrapText="1"/>
    </xf>
    <xf numFmtId="0" fontId="2" fillId="0" borderId="91" xfId="0" applyFont="1" applyBorder="1" applyAlignment="1">
      <alignment vertical="top"/>
    </xf>
    <xf numFmtId="0" fontId="10" fillId="6" borderId="66" xfId="0" applyFont="1" applyFill="1" applyBorder="1" applyAlignment="1">
      <alignment vertical="top" wrapText="1"/>
    </xf>
    <xf numFmtId="0" fontId="26" fillId="3" borderId="54" xfId="0" applyFont="1" applyFill="1" applyBorder="1" applyAlignment="1">
      <alignment horizontal="center" vertical="center" wrapText="1"/>
    </xf>
    <xf numFmtId="0" fontId="26" fillId="11" borderId="39" xfId="0" applyFont="1" applyFill="1" applyBorder="1" applyAlignment="1">
      <alignment vertical="center"/>
    </xf>
    <xf numFmtId="0" fontId="26" fillId="14" borderId="39" xfId="0" applyFont="1" applyFill="1" applyBorder="1" applyAlignment="1">
      <alignment horizontal="left" vertical="top" wrapText="1"/>
    </xf>
    <xf numFmtId="0" fontId="6" fillId="14" borderId="54" xfId="0" applyFont="1" applyFill="1" applyBorder="1" applyAlignment="1">
      <alignment horizontal="left" vertical="top" wrapText="1"/>
    </xf>
    <xf numFmtId="0" fontId="2" fillId="11" borderId="39" xfId="0" applyFont="1" applyFill="1" applyBorder="1" applyAlignment="1">
      <alignment vertical="top" wrapText="1"/>
    </xf>
    <xf numFmtId="1" fontId="26" fillId="14" borderId="54" xfId="0" applyNumberFormat="1" applyFont="1" applyFill="1" applyBorder="1" applyAlignment="1">
      <alignment horizontal="center" vertical="center"/>
    </xf>
    <xf numFmtId="1" fontId="26" fillId="14" borderId="39" xfId="0" applyNumberFormat="1" applyFont="1" applyFill="1" applyBorder="1" applyAlignment="1">
      <alignment horizontal="center" vertical="center"/>
    </xf>
    <xf numFmtId="0" fontId="28" fillId="14" borderId="39" xfId="0" applyFont="1" applyFill="1" applyBorder="1" applyAlignment="1">
      <alignment horizontal="left" vertical="top" wrapText="1"/>
    </xf>
    <xf numFmtId="0" fontId="0" fillId="6" borderId="86" xfId="0" applyFill="1" applyBorder="1" applyAlignment="1">
      <alignment horizontal="right" vertical="top"/>
    </xf>
    <xf numFmtId="0" fontId="0" fillId="6" borderId="53" xfId="0" applyFill="1" applyBorder="1" applyAlignment="1">
      <alignment horizontal="right" vertical="top"/>
    </xf>
    <xf numFmtId="0" fontId="26" fillId="0" borderId="61" xfId="0" applyFont="1" applyBorder="1" applyAlignment="1">
      <alignment horizontal="left" wrapText="1"/>
    </xf>
    <xf numFmtId="0" fontId="26" fillId="0" borderId="62" xfId="0" applyFont="1" applyBorder="1" applyAlignment="1">
      <alignment horizontal="left" wrapText="1"/>
    </xf>
    <xf numFmtId="2" fontId="26" fillId="11" borderId="61" xfId="0" applyNumberFormat="1" applyFont="1" applyFill="1" applyBorder="1" applyAlignment="1">
      <alignment horizontal="center" vertical="center"/>
    </xf>
    <xf numFmtId="2" fontId="26" fillId="11" borderId="62" xfId="0" applyNumberFormat="1" applyFont="1" applyFill="1" applyBorder="1" applyAlignment="1">
      <alignment horizontal="center" vertical="center"/>
    </xf>
    <xf numFmtId="1" fontId="26" fillId="11" borderId="54" xfId="0" applyNumberFormat="1" applyFont="1" applyFill="1" applyBorder="1" applyAlignment="1">
      <alignment horizontal="center" vertical="top" wrapText="1"/>
    </xf>
    <xf numFmtId="0" fontId="26" fillId="3" borderId="54" xfId="0" applyFont="1" applyFill="1" applyBorder="1" applyAlignment="1">
      <alignment horizontal="center" vertical="top" wrapText="1"/>
    </xf>
    <xf numFmtId="0" fontId="10" fillId="6" borderId="88" xfId="0" applyFont="1" applyFill="1" applyBorder="1" applyAlignment="1">
      <alignment vertical="top" wrapText="1"/>
    </xf>
    <xf numFmtId="0" fontId="2" fillId="0" borderId="88" xfId="0" applyFont="1" applyBorder="1" applyAlignment="1">
      <alignment vertical="top"/>
    </xf>
    <xf numFmtId="0" fontId="26" fillId="3" borderId="39" xfId="0" applyFont="1" applyFill="1" applyBorder="1" applyAlignment="1">
      <alignment horizontal="left" vertical="top" wrapText="1"/>
    </xf>
    <xf numFmtId="2" fontId="26" fillId="11" borderId="54" xfId="0" applyNumberFormat="1" applyFont="1" applyFill="1" applyBorder="1" applyAlignment="1">
      <alignment horizontal="center" vertical="top"/>
    </xf>
    <xf numFmtId="0" fontId="2" fillId="3" borderId="54" xfId="0" applyFont="1" applyFill="1" applyBorder="1" applyAlignment="1">
      <alignment horizontal="left" vertical="center" wrapText="1"/>
    </xf>
    <xf numFmtId="0" fontId="26" fillId="0" borderId="39" xfId="0" applyFont="1" applyBorder="1" applyAlignment="1">
      <alignment vertical="center"/>
    </xf>
    <xf numFmtId="1" fontId="26" fillId="3" borderId="54" xfId="0" applyNumberFormat="1" applyFont="1" applyFill="1" applyBorder="1" applyAlignment="1">
      <alignment horizontal="center" vertical="top" wrapText="1"/>
    </xf>
    <xf numFmtId="0" fontId="2" fillId="3" borderId="54" xfId="0" applyFont="1" applyFill="1" applyBorder="1" applyAlignment="1">
      <alignment vertical="top" wrapText="1"/>
    </xf>
    <xf numFmtId="0" fontId="26" fillId="3" borderId="39" xfId="0" applyFont="1" applyFill="1" applyBorder="1" applyAlignment="1">
      <alignment horizontal="left" vertical="top"/>
    </xf>
    <xf numFmtId="1" fontId="26" fillId="11" borderId="39" xfId="0" applyNumberFormat="1" applyFont="1" applyFill="1" applyBorder="1" applyAlignment="1">
      <alignment horizontal="center" vertical="top" wrapText="1"/>
    </xf>
    <xf numFmtId="2" fontId="26" fillId="3" borderId="60" xfId="0" applyNumberFormat="1" applyFont="1" applyFill="1" applyBorder="1" applyAlignment="1">
      <alignment horizontal="center" vertical="top"/>
    </xf>
    <xf numFmtId="1" fontId="26" fillId="14" borderId="54" xfId="0" applyNumberFormat="1" applyFont="1" applyFill="1" applyBorder="1" applyAlignment="1">
      <alignment horizontal="center" vertical="center" wrapText="1"/>
    </xf>
    <xf numFmtId="0" fontId="26" fillId="0" borderId="54" xfId="0" applyFont="1" applyBorder="1" applyAlignment="1">
      <alignment horizontal="left" wrapText="1"/>
    </xf>
    <xf numFmtId="0" fontId="26" fillId="0" borderId="39" xfId="0" applyFont="1" applyBorder="1" applyAlignment="1">
      <alignment wrapText="1"/>
    </xf>
    <xf numFmtId="0" fontId="2" fillId="0" borderId="54" xfId="0" applyFont="1" applyBorder="1" applyAlignment="1">
      <alignment horizontal="left" vertical="top" wrapText="1"/>
    </xf>
    <xf numFmtId="2" fontId="26" fillId="11" borderId="60" xfId="0" applyNumberFormat="1" applyFont="1" applyFill="1" applyBorder="1" applyAlignment="1">
      <alignment horizontal="center" vertical="center"/>
    </xf>
    <xf numFmtId="2" fontId="26" fillId="11" borderId="60" xfId="0" applyNumberFormat="1" applyFont="1" applyFill="1" applyBorder="1" applyAlignment="1">
      <alignment vertical="center"/>
    </xf>
    <xf numFmtId="0" fontId="26" fillId="11" borderId="54" xfId="0" applyFont="1" applyFill="1" applyBorder="1" applyAlignment="1">
      <alignment horizontal="center" vertical="top"/>
    </xf>
    <xf numFmtId="0" fontId="26" fillId="11" borderId="39" xfId="0" applyFont="1" applyFill="1" applyBorder="1" applyAlignment="1">
      <alignment horizontal="center" vertical="top"/>
    </xf>
    <xf numFmtId="0" fontId="0" fillId="6" borderId="88" xfId="0" applyFill="1" applyBorder="1" applyAlignment="1">
      <alignment horizontal="center" vertical="top" wrapText="1"/>
    </xf>
    <xf numFmtId="0" fontId="6" fillId="6" borderId="60" xfId="0" applyFont="1" applyFill="1" applyBorder="1" applyAlignment="1">
      <alignment horizontal="center" vertical="top" wrapText="1"/>
    </xf>
    <xf numFmtId="0" fontId="2" fillId="0" borderId="60" xfId="0" applyFont="1" applyBorder="1" applyAlignment="1">
      <alignment vertical="top"/>
    </xf>
    <xf numFmtId="0" fontId="26" fillId="11" borderId="54" xfId="0" applyFont="1" applyFill="1" applyBorder="1" applyAlignment="1">
      <alignment horizontal="center" vertical="top" wrapText="1"/>
    </xf>
    <xf numFmtId="0" fontId="26" fillId="0" borderId="39" xfId="0" applyFont="1" applyBorder="1" applyAlignment="1">
      <alignment horizontal="left" vertical="top" wrapText="1"/>
    </xf>
    <xf numFmtId="0" fontId="26" fillId="11" borderId="54" xfId="0" applyFont="1" applyFill="1" applyBorder="1" applyAlignment="1">
      <alignment horizontal="left" vertical="top" wrapText="1"/>
    </xf>
    <xf numFmtId="0" fontId="2" fillId="11" borderId="39" xfId="0" applyFont="1" applyFill="1" applyBorder="1" applyAlignment="1">
      <alignment horizontal="left" vertical="top" wrapText="1"/>
    </xf>
    <xf numFmtId="0" fontId="26" fillId="0" borderId="60" xfId="0" applyFont="1" applyBorder="1" applyAlignment="1">
      <alignment horizontal="left" vertical="top" wrapText="1"/>
    </xf>
    <xf numFmtId="2" fontId="26" fillId="11" borderId="60" xfId="0" applyNumberFormat="1" applyFont="1" applyFill="1" applyBorder="1" applyAlignment="1">
      <alignment horizontal="center" vertical="top" wrapText="1"/>
    </xf>
    <xf numFmtId="2" fontId="26" fillId="3" borderId="55" xfId="0" applyNumberFormat="1" applyFont="1" applyFill="1" applyBorder="1" applyAlignment="1">
      <alignment horizontal="center" vertical="top" wrapText="1"/>
    </xf>
    <xf numFmtId="2" fontId="26" fillId="11" borderId="56" xfId="0" applyNumberFormat="1" applyFont="1" applyFill="1" applyBorder="1" applyAlignment="1">
      <alignment vertical="top"/>
    </xf>
    <xf numFmtId="0" fontId="0" fillId="4" borderId="81" xfId="0" applyFill="1" applyBorder="1" applyAlignment="1">
      <alignment horizontal="right" vertical="top"/>
    </xf>
    <xf numFmtId="0" fontId="0" fillId="4" borderId="82" xfId="0" applyFill="1" applyBorder="1" applyAlignment="1">
      <alignment horizontal="right" vertical="top"/>
    </xf>
    <xf numFmtId="0" fontId="0" fillId="6" borderId="79" xfId="0" applyFill="1" applyBorder="1" applyAlignment="1">
      <alignment horizontal="right" vertical="top"/>
    </xf>
    <xf numFmtId="0" fontId="0" fillId="6" borderId="62" xfId="0" applyFill="1" applyBorder="1" applyAlignment="1">
      <alignment horizontal="right" vertical="top"/>
    </xf>
    <xf numFmtId="2" fontId="6" fillId="0" borderId="6" xfId="0" applyNumberFormat="1" applyFont="1" applyBorder="1" applyAlignment="1">
      <alignment horizontal="center" vertical="center" wrapText="1"/>
    </xf>
    <xf numFmtId="2" fontId="28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2" fontId="0" fillId="0" borderId="9" xfId="0" applyNumberFormat="1" applyBorder="1" applyAlignment="1">
      <alignment horizontal="center" vertical="center" wrapText="1"/>
    </xf>
    <xf numFmtId="2" fontId="0" fillId="0" borderId="28" xfId="0" applyNumberFormat="1" applyBorder="1" applyAlignment="1">
      <alignment horizontal="center" vertical="center" wrapText="1"/>
    </xf>
    <xf numFmtId="0" fontId="0" fillId="0" borderId="0" xfId="0"/>
    <xf numFmtId="0" fontId="2" fillId="0" borderId="10" xfId="0" applyFont="1" applyBorder="1"/>
    <xf numFmtId="2" fontId="6" fillId="0" borderId="9" xfId="0" applyNumberFormat="1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0" fontId="10" fillId="4" borderId="66" xfId="0" applyFont="1" applyFill="1" applyBorder="1" applyAlignment="1">
      <alignment horizontal="left" vertical="top" wrapText="1"/>
    </xf>
    <xf numFmtId="0" fontId="10" fillId="4" borderId="14" xfId="0" applyFont="1" applyFill="1" applyBorder="1" applyAlignment="1">
      <alignment horizontal="center" vertical="top" wrapText="1"/>
    </xf>
    <xf numFmtId="0" fontId="2" fillId="0" borderId="63" xfId="0" applyFont="1" applyBorder="1" applyAlignment="1">
      <alignment vertical="top"/>
    </xf>
    <xf numFmtId="0" fontId="10" fillId="4" borderId="12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vertical="top"/>
    </xf>
    <xf numFmtId="0" fontId="2" fillId="0" borderId="96" xfId="0" applyFont="1" applyBorder="1" applyAlignment="1">
      <alignment vertical="top"/>
    </xf>
    <xf numFmtId="0" fontId="2" fillId="0" borderId="29" xfId="0" applyFont="1" applyBorder="1" applyAlignment="1">
      <alignment vertical="top"/>
    </xf>
    <xf numFmtId="2" fontId="6" fillId="11" borderId="54" xfId="0" applyNumberFormat="1" applyFont="1" applyFill="1" applyBorder="1" applyAlignment="1">
      <alignment horizontal="center" vertical="top" wrapText="1"/>
    </xf>
    <xf numFmtId="0" fontId="11" fillId="4" borderId="66" xfId="0" applyFont="1" applyFill="1" applyBorder="1" applyAlignment="1">
      <alignment vertical="top" wrapText="1"/>
    </xf>
    <xf numFmtId="0" fontId="6" fillId="0" borderId="54" xfId="0" applyFont="1" applyBorder="1" applyAlignment="1">
      <alignment horizontal="left" vertical="top" wrapText="1"/>
    </xf>
    <xf numFmtId="0" fontId="28" fillId="0" borderId="39" xfId="0" applyFont="1" applyBorder="1" applyAlignment="1">
      <alignment horizontal="left" vertical="top" wrapText="1"/>
    </xf>
    <xf numFmtId="2" fontId="24" fillId="11" borderId="54" xfId="0" applyNumberFormat="1" applyFont="1" applyFill="1" applyBorder="1" applyAlignment="1">
      <alignment horizontal="center" vertical="top" wrapText="1"/>
    </xf>
    <xf numFmtId="2" fontId="24" fillId="11" borderId="39" xfId="0" applyNumberFormat="1" applyFont="1" applyFill="1" applyBorder="1" applyAlignment="1">
      <alignment horizontal="center" vertical="top" wrapText="1"/>
    </xf>
    <xf numFmtId="0" fontId="2" fillId="0" borderId="39" xfId="0" applyFont="1" applyBorder="1" applyAlignment="1">
      <alignment vertical="top" wrapText="1"/>
    </xf>
    <xf numFmtId="0" fontId="6" fillId="0" borderId="39" xfId="0" applyFont="1" applyBorder="1" applyAlignment="1">
      <alignment horizontal="left" vertical="top" wrapText="1"/>
    </xf>
    <xf numFmtId="0" fontId="10" fillId="4" borderId="30" xfId="0" applyFont="1" applyFill="1" applyBorder="1" applyAlignment="1">
      <alignment horizontal="center" vertical="top" wrapText="1"/>
    </xf>
    <xf numFmtId="0" fontId="10" fillId="4" borderId="84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2" fillId="0" borderId="95" xfId="0" applyFont="1" applyBorder="1" applyAlignment="1">
      <alignment vertical="top"/>
    </xf>
    <xf numFmtId="0" fontId="11" fillId="5" borderId="1" xfId="0" applyFont="1" applyFill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2" fontId="0" fillId="11" borderId="54" xfId="0" applyNumberFormat="1" applyFill="1" applyBorder="1" applyAlignment="1">
      <alignment horizontal="center" vertical="top" wrapText="1"/>
    </xf>
    <xf numFmtId="0" fontId="10" fillId="4" borderId="66" xfId="0" applyFont="1" applyFill="1" applyBorder="1" applyAlignment="1">
      <alignment horizontal="center" vertical="top" wrapText="1"/>
    </xf>
    <xf numFmtId="0" fontId="0" fillId="4" borderId="72" xfId="0" applyFill="1" applyBorder="1" applyAlignment="1">
      <alignment horizontal="right" vertical="top" wrapText="1"/>
    </xf>
    <xf numFmtId="0" fontId="0" fillId="4" borderId="73" xfId="0" applyFill="1" applyBorder="1" applyAlignment="1">
      <alignment horizontal="right" vertical="top" wrapText="1"/>
    </xf>
    <xf numFmtId="0" fontId="6" fillId="0" borderId="57" xfId="0" applyFont="1" applyBorder="1" applyAlignment="1">
      <alignment vertical="top" wrapText="1"/>
    </xf>
    <xf numFmtId="0" fontId="2" fillId="0" borderId="59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2" fontId="26" fillId="14" borderId="122" xfId="0" applyNumberFormat="1" applyFont="1" applyFill="1" applyBorder="1" applyAlignment="1">
      <alignment horizontal="center" vertical="top" wrapText="1"/>
    </xf>
    <xf numFmtId="0" fontId="26" fillId="11" borderId="123" xfId="0" applyFont="1" applyFill="1" applyBorder="1" applyAlignment="1">
      <alignment vertical="top"/>
    </xf>
    <xf numFmtId="2" fontId="6" fillId="3" borderId="54" xfId="0" applyNumberFormat="1" applyFont="1" applyFill="1" applyBorder="1" applyAlignment="1">
      <alignment horizontal="center" vertical="top" wrapText="1"/>
    </xf>
    <xf numFmtId="0" fontId="26" fillId="0" borderId="57" xfId="0" applyFont="1" applyBorder="1" applyAlignment="1">
      <alignment vertical="top" wrapText="1"/>
    </xf>
    <xf numFmtId="0" fontId="2" fillId="2" borderId="122" xfId="0" applyFont="1" applyFill="1" applyBorder="1" applyAlignment="1">
      <alignment horizontal="left" vertical="top" wrapText="1"/>
    </xf>
    <xf numFmtId="0" fontId="26" fillId="0" borderId="123" xfId="0" applyFont="1" applyBorder="1" applyAlignment="1">
      <alignment vertical="top"/>
    </xf>
    <xf numFmtId="0" fontId="0" fillId="4" borderId="81" xfId="0" applyFill="1" applyBorder="1" applyAlignment="1">
      <alignment horizontal="right" vertical="top" wrapText="1"/>
    </xf>
    <xf numFmtId="0" fontId="0" fillId="4" borderId="82" xfId="0" applyFill="1" applyBorder="1" applyAlignment="1">
      <alignment horizontal="right" vertical="top" wrapText="1"/>
    </xf>
    <xf numFmtId="0" fontId="24" fillId="0" borderId="54" xfId="0" applyFont="1" applyBorder="1" applyAlignment="1">
      <alignment horizontal="left" vertical="top" wrapText="1"/>
    </xf>
    <xf numFmtId="0" fontId="6" fillId="6" borderId="5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11" fillId="15" borderId="111" xfId="0" applyFont="1" applyFill="1" applyBorder="1" applyAlignment="1">
      <alignment horizontal="left" vertical="top"/>
    </xf>
    <xf numFmtId="0" fontId="2" fillId="11" borderId="99" xfId="0" applyFont="1" applyFill="1" applyBorder="1" applyAlignment="1">
      <alignment vertical="top"/>
    </xf>
    <xf numFmtId="0" fontId="24" fillId="3" borderId="54" xfId="0" applyFont="1" applyFill="1" applyBorder="1" applyAlignment="1">
      <alignment horizontal="left" vertical="top" wrapText="1"/>
    </xf>
    <xf numFmtId="0" fontId="36" fillId="0" borderId="28" xfId="2" applyFont="1" applyAlignment="1">
      <alignment horizontal="center" vertical="top"/>
    </xf>
    <xf numFmtId="0" fontId="33" fillId="11" borderId="0" xfId="0" quotePrefix="1" applyFont="1" applyFill="1" applyAlignment="1">
      <alignment horizontal="left" vertical="center"/>
    </xf>
    <xf numFmtId="14" fontId="33" fillId="11" borderId="0" xfId="0" applyNumberFormat="1" applyFont="1" applyFill="1" applyAlignment="1">
      <alignment horizontal="left" vertical="center"/>
    </xf>
    <xf numFmtId="166" fontId="36" fillId="0" borderId="28" xfId="2" applyNumberFormat="1" applyFont="1" applyAlignment="1">
      <alignment horizontal="center" vertical="center"/>
    </xf>
    <xf numFmtId="10" fontId="37" fillId="11" borderId="28" xfId="1" applyNumberFormat="1" applyFont="1" applyFill="1" applyBorder="1" applyAlignment="1">
      <alignment horizontal="left" vertical="center"/>
    </xf>
    <xf numFmtId="0" fontId="33" fillId="11" borderId="0" xfId="0" applyFont="1" applyFill="1" applyAlignment="1">
      <alignment horizontal="left" vertical="center"/>
    </xf>
    <xf numFmtId="166" fontId="36" fillId="0" borderId="28" xfId="2" applyNumberFormat="1" applyFont="1" applyAlignment="1">
      <alignment horizontal="right" vertical="center"/>
    </xf>
    <xf numFmtId="0" fontId="33" fillId="11" borderId="155" xfId="0" applyFont="1" applyFill="1" applyBorder="1" applyAlignment="1">
      <alignment horizontal="center" vertical="center"/>
    </xf>
    <xf numFmtId="0" fontId="0" fillId="4" borderId="72" xfId="0" applyFill="1" applyBorder="1" applyAlignment="1">
      <alignment horizontal="right" vertical="top"/>
    </xf>
    <xf numFmtId="0" fontId="0" fillId="4" borderId="73" xfId="0" applyFill="1" applyBorder="1" applyAlignment="1">
      <alignment horizontal="right" vertical="top"/>
    </xf>
    <xf numFmtId="2" fontId="26" fillId="11" borderId="39" xfId="0" applyNumberFormat="1" applyFont="1" applyFill="1" applyBorder="1" applyAlignment="1">
      <alignment vertical="top"/>
    </xf>
    <xf numFmtId="0" fontId="6" fillId="2" borderId="54" xfId="0" applyFont="1" applyFill="1" applyBorder="1" applyAlignment="1">
      <alignment horizontal="left" vertical="top" wrapText="1"/>
    </xf>
    <xf numFmtId="2" fontId="2" fillId="11" borderId="39" xfId="0" applyNumberFormat="1" applyFont="1" applyFill="1" applyBorder="1" applyAlignment="1">
      <alignment vertical="top"/>
    </xf>
    <xf numFmtId="0" fontId="11" fillId="6" borderId="60" xfId="0" applyFont="1" applyFill="1" applyBorder="1" applyAlignment="1">
      <alignment horizontal="left" vertical="top"/>
    </xf>
    <xf numFmtId="0" fontId="0" fillId="6" borderId="90" xfId="0" applyFill="1" applyBorder="1" applyAlignment="1">
      <alignment horizontal="right" vertical="top"/>
    </xf>
    <xf numFmtId="0" fontId="0" fillId="6" borderId="114" xfId="0" applyFill="1" applyBorder="1" applyAlignment="1">
      <alignment horizontal="right" vertical="top"/>
    </xf>
    <xf numFmtId="0" fontId="2" fillId="3" borderId="60" xfId="0" applyFont="1" applyFill="1" applyBorder="1" applyAlignment="1">
      <alignment horizontal="left" vertical="top" wrapText="1"/>
    </xf>
    <xf numFmtId="0" fontId="26" fillId="11" borderId="60" xfId="0" applyFont="1" applyFill="1" applyBorder="1" applyAlignment="1">
      <alignment horizontal="left" vertical="top" wrapText="1"/>
    </xf>
    <xf numFmtId="0" fontId="26" fillId="3" borderId="54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26" fillId="11" borderId="56" xfId="0" applyFont="1" applyFill="1" applyBorder="1" applyAlignment="1">
      <alignment vertical="center"/>
    </xf>
    <xf numFmtId="0" fontId="26" fillId="11" borderId="54" xfId="0" applyFont="1" applyFill="1" applyBorder="1" applyAlignment="1">
      <alignment horizontal="center" vertical="center" wrapText="1"/>
    </xf>
    <xf numFmtId="1" fontId="26" fillId="11" borderId="54" xfId="0" applyNumberFormat="1" applyFont="1" applyFill="1" applyBorder="1" applyAlignment="1">
      <alignment horizontal="center" vertical="center" wrapText="1"/>
    </xf>
    <xf numFmtId="0" fontId="26" fillId="0" borderId="60" xfId="0" applyFont="1" applyBorder="1" applyAlignment="1">
      <alignment horizontal="left" wrapText="1"/>
    </xf>
    <xf numFmtId="0" fontId="26" fillId="0" borderId="60" xfId="0" applyFont="1" applyBorder="1" applyAlignment="1">
      <alignment wrapText="1"/>
    </xf>
    <xf numFmtId="0" fontId="26" fillId="0" borderId="60" xfId="0" applyFont="1" applyBorder="1" applyAlignment="1">
      <alignment vertical="top" wrapText="1"/>
    </xf>
    <xf numFmtId="2" fontId="6" fillId="4" borderId="66" xfId="0" applyNumberFormat="1" applyFont="1" applyFill="1" applyBorder="1" applyAlignment="1">
      <alignment horizontal="center" vertical="top" wrapText="1"/>
    </xf>
    <xf numFmtId="14" fontId="21" fillId="11" borderId="0" xfId="0" applyNumberFormat="1" applyFont="1" applyFill="1" applyAlignment="1">
      <alignment horizontal="left" vertical="center"/>
    </xf>
    <xf numFmtId="2" fontId="6" fillId="11" borderId="39" xfId="0" applyNumberFormat="1" applyFont="1" applyFill="1" applyBorder="1" applyAlignment="1">
      <alignment horizontal="center" vertical="top" wrapText="1"/>
    </xf>
    <xf numFmtId="0" fontId="2" fillId="11" borderId="54" xfId="0" applyFont="1" applyFill="1" applyBorder="1" applyAlignment="1">
      <alignment vertical="top" wrapText="1"/>
    </xf>
    <xf numFmtId="0" fontId="11" fillId="3" borderId="32" xfId="0" applyFont="1" applyFill="1" applyBorder="1" applyAlignment="1">
      <alignment horizontal="center" vertical="top" wrapText="1"/>
    </xf>
    <xf numFmtId="0" fontId="11" fillId="3" borderId="52" xfId="0" applyFont="1" applyFill="1" applyBorder="1" applyAlignment="1">
      <alignment horizontal="center" vertical="top" wrapText="1"/>
    </xf>
    <xf numFmtId="0" fontId="2" fillId="0" borderId="52" xfId="0" applyFont="1" applyBorder="1" applyAlignment="1">
      <alignment vertical="top"/>
    </xf>
    <xf numFmtId="0" fontId="2" fillId="0" borderId="50" xfId="0" applyFont="1" applyBorder="1" applyAlignment="1">
      <alignment vertical="top"/>
    </xf>
    <xf numFmtId="0" fontId="6" fillId="11" borderId="60" xfId="0" applyFont="1" applyFill="1" applyBorder="1" applyAlignment="1">
      <alignment horizontal="left" vertical="top" wrapText="1"/>
    </xf>
    <xf numFmtId="0" fontId="28" fillId="11" borderId="60" xfId="0" applyFont="1" applyFill="1" applyBorder="1" applyAlignment="1">
      <alignment horizontal="left" vertical="top" wrapText="1"/>
    </xf>
    <xf numFmtId="2" fontId="26" fillId="14" borderId="124" xfId="0" applyNumberFormat="1" applyFont="1" applyFill="1" applyBorder="1" applyAlignment="1">
      <alignment horizontal="center" vertical="top" wrapText="1"/>
    </xf>
    <xf numFmtId="0" fontId="6" fillId="11" borderId="61" xfId="0" applyFont="1" applyFill="1" applyBorder="1" applyAlignment="1">
      <alignment horizontal="left" vertical="top" wrapText="1"/>
    </xf>
    <xf numFmtId="0" fontId="6" fillId="11" borderId="62" xfId="0" applyFont="1" applyFill="1" applyBorder="1" applyAlignment="1">
      <alignment horizontal="left" vertical="top" wrapText="1"/>
    </xf>
    <xf numFmtId="0" fontId="2" fillId="14" borderId="62" xfId="0" applyFont="1" applyFill="1" applyBorder="1" applyAlignment="1">
      <alignment horizontal="left" vertical="top" wrapText="1"/>
    </xf>
    <xf numFmtId="0" fontId="6" fillId="14" borderId="131" xfId="0" applyFont="1" applyFill="1" applyBorder="1" applyAlignment="1">
      <alignment horizontal="left" vertical="top" wrapText="1"/>
    </xf>
    <xf numFmtId="0" fontId="6" fillId="14" borderId="132" xfId="0" applyFont="1" applyFill="1" applyBorder="1" applyAlignment="1">
      <alignment horizontal="left" vertical="top" wrapText="1"/>
    </xf>
    <xf numFmtId="2" fontId="6" fillId="14" borderId="131" xfId="0" applyNumberFormat="1" applyFont="1" applyFill="1" applyBorder="1" applyAlignment="1">
      <alignment horizontal="center" vertical="top" wrapText="1"/>
    </xf>
    <xf numFmtId="2" fontId="6" fillId="14" borderId="132" xfId="0" applyNumberFormat="1" applyFont="1" applyFill="1" applyBorder="1" applyAlignment="1">
      <alignment horizontal="center" vertical="top" wrapText="1"/>
    </xf>
    <xf numFmtId="0" fontId="26" fillId="14" borderId="60" xfId="0" applyFont="1" applyFill="1" applyBorder="1" applyAlignment="1">
      <alignment horizontal="left" vertical="top" wrapText="1"/>
    </xf>
    <xf numFmtId="2" fontId="26" fillId="2" borderId="60" xfId="0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" fillId="0" borderId="23" xfId="0" applyFont="1" applyBorder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1" fillId="0" borderId="2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1" fillId="0" borderId="18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1" fillId="0" borderId="22" xfId="0" applyFont="1" applyBorder="1" applyAlignment="1">
      <alignment horizontal="center"/>
    </xf>
    <xf numFmtId="0" fontId="2" fillId="0" borderId="15" xfId="0" applyFont="1" applyBorder="1"/>
    <xf numFmtId="0" fontId="1" fillId="0" borderId="1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21" fillId="0" borderId="54" xfId="0" applyFont="1" applyBorder="1" applyAlignment="1">
      <alignment vertical="center"/>
    </xf>
    <xf numFmtId="0" fontId="2" fillId="0" borderId="53" xfId="0" applyFont="1" applyBorder="1"/>
    <xf numFmtId="0" fontId="2" fillId="0" borderId="39" xfId="0" applyFont="1" applyBorder="1"/>
    <xf numFmtId="2" fontId="6" fillId="0" borderId="7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20" fillId="5" borderId="66" xfId="0" applyFont="1" applyFill="1" applyBorder="1" applyAlignment="1">
      <alignment horizontal="center" vertical="center"/>
    </xf>
    <xf numFmtId="0" fontId="2" fillId="0" borderId="67" xfId="0" applyFont="1" applyBorder="1"/>
    <xf numFmtId="0" fontId="20" fillId="5" borderId="97" xfId="0" applyFont="1" applyFill="1" applyBorder="1" applyAlignment="1">
      <alignment horizontal="center" vertical="center"/>
    </xf>
    <xf numFmtId="0" fontId="2" fillId="0" borderId="98" xfId="0" applyFont="1" applyBorder="1"/>
    <xf numFmtId="0" fontId="2" fillId="0" borderId="99" xfId="0" applyFont="1" applyBorder="1"/>
    <xf numFmtId="0" fontId="2" fillId="0" borderId="93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100" xfId="0" applyFont="1" applyBorder="1"/>
    <xf numFmtId="2" fontId="0" fillId="0" borderId="0" xfId="0" applyNumberFormat="1" applyAlignment="1">
      <alignment horizontal="center" vertical="center" wrapText="1"/>
    </xf>
    <xf numFmtId="0" fontId="21" fillId="5" borderId="105" xfId="0" applyFont="1" applyFill="1" applyBorder="1" applyAlignment="1">
      <alignment horizontal="center"/>
    </xf>
    <xf numFmtId="0" fontId="2" fillId="0" borderId="81" xfId="0" applyFont="1" applyBorder="1"/>
    <xf numFmtId="0" fontId="20" fillId="5" borderId="72" xfId="0" applyFont="1" applyFill="1" applyBorder="1" applyAlignment="1">
      <alignment horizontal="left"/>
    </xf>
    <xf numFmtId="0" fontId="2" fillId="0" borderId="73" xfId="0" applyFont="1" applyBorder="1"/>
    <xf numFmtId="0" fontId="2" fillId="0" borderId="74" xfId="0" applyFont="1" applyBorder="1"/>
    <xf numFmtId="0" fontId="22" fillId="0" borderId="0" xfId="0" applyFont="1" applyAlignment="1">
      <alignment horizontal="center" vertical="top"/>
    </xf>
    <xf numFmtId="0" fontId="20" fillId="5" borderId="106" xfId="0" applyFont="1" applyFill="1" applyBorder="1" applyAlignment="1">
      <alignment horizontal="left"/>
    </xf>
    <xf numFmtId="0" fontId="2" fillId="0" borderId="107" xfId="0" applyFont="1" applyBorder="1"/>
    <xf numFmtId="0" fontId="21" fillId="0" borderId="0" xfId="0" applyFont="1" applyAlignment="1">
      <alignment horizontal="left" vertical="center"/>
    </xf>
    <xf numFmtId="0" fontId="21" fillId="0" borderId="0" xfId="0" quotePrefix="1" applyFont="1" applyAlignment="1">
      <alignment horizontal="left" vertical="center"/>
    </xf>
    <xf numFmtId="10" fontId="22" fillId="0" borderId="0" xfId="0" applyNumberFormat="1" applyFont="1" applyAlignment="1">
      <alignment horizontal="left" vertical="center"/>
    </xf>
    <xf numFmtId="14" fontId="21" fillId="0" borderId="0" xfId="0" applyNumberFormat="1" applyFont="1" applyAlignment="1">
      <alignment horizontal="left" vertical="center"/>
    </xf>
    <xf numFmtId="0" fontId="6" fillId="3" borderId="168" xfId="0" applyFont="1" applyFill="1" applyBorder="1" applyAlignment="1">
      <alignment horizontal="left" vertical="center" wrapText="1"/>
    </xf>
    <xf numFmtId="0" fontId="26" fillId="11" borderId="157" xfId="0" applyFont="1" applyFill="1" applyBorder="1"/>
    <xf numFmtId="0" fontId="26" fillId="11" borderId="158" xfId="0" applyFont="1" applyFill="1" applyBorder="1"/>
    <xf numFmtId="0" fontId="6" fillId="22" borderId="165" xfId="0" applyFont="1" applyFill="1" applyBorder="1" applyAlignment="1">
      <alignment horizontal="left" vertical="center" wrapText="1"/>
    </xf>
    <xf numFmtId="0" fontId="26" fillId="21" borderId="166" xfId="0" applyFont="1" applyFill="1" applyBorder="1"/>
    <xf numFmtId="0" fontId="26" fillId="21" borderId="167" xfId="0" applyFont="1" applyFill="1" applyBorder="1"/>
    <xf numFmtId="0" fontId="6" fillId="3" borderId="17" xfId="0" applyFont="1" applyFill="1" applyBorder="1" applyAlignment="1">
      <alignment horizontal="left" vertical="center" wrapText="1"/>
    </xf>
    <xf numFmtId="0" fontId="26" fillId="11" borderId="57" xfId="0" applyFont="1" applyFill="1" applyBorder="1"/>
    <xf numFmtId="0" fontId="26" fillId="11" borderId="58" xfId="0" applyFont="1" applyFill="1" applyBorder="1"/>
    <xf numFmtId="4" fontId="29" fillId="3" borderId="51" xfId="0" applyNumberFormat="1" applyFont="1" applyFill="1" applyBorder="1" applyAlignment="1">
      <alignment horizontal="right" vertical="center"/>
    </xf>
    <xf numFmtId="0" fontId="26" fillId="11" borderId="24" xfId="0" applyFont="1" applyFill="1" applyBorder="1"/>
    <xf numFmtId="0" fontId="26" fillId="11" borderId="25" xfId="0" applyFont="1" applyFill="1" applyBorder="1"/>
    <xf numFmtId="0" fontId="24" fillId="21" borderId="33" xfId="0" applyFont="1" applyFill="1" applyBorder="1" applyAlignment="1">
      <alignment horizontal="center" vertical="center" textRotation="90"/>
    </xf>
    <xf numFmtId="0" fontId="26" fillId="21" borderId="38" xfId="0" applyFont="1" applyFill="1" applyBorder="1"/>
    <xf numFmtId="0" fontId="26" fillId="21" borderId="47" xfId="0" applyFont="1" applyFill="1" applyBorder="1"/>
    <xf numFmtId="0" fontId="28" fillId="3" borderId="168" xfId="0" applyFont="1" applyFill="1" applyBorder="1" applyAlignment="1">
      <alignment horizontal="left" vertical="center"/>
    </xf>
    <xf numFmtId="0" fontId="26" fillId="0" borderId="157" xfId="0" applyFont="1" applyBorder="1"/>
    <xf numFmtId="0" fontId="26" fillId="0" borderId="158" xfId="0" applyFont="1" applyBorder="1"/>
    <xf numFmtId="0" fontId="28" fillId="22" borderId="61" xfId="0" applyFont="1" applyFill="1" applyBorder="1" applyAlignment="1">
      <alignment horizontal="left" vertical="center" wrapText="1"/>
    </xf>
    <xf numFmtId="0" fontId="24" fillId="21" borderId="38" xfId="0" applyFont="1" applyFill="1" applyBorder="1" applyAlignment="1">
      <alignment horizontal="center" vertical="center" textRotation="90"/>
    </xf>
    <xf numFmtId="4" fontId="29" fillId="3" borderId="23" xfId="0" applyNumberFormat="1" applyFont="1" applyFill="1" applyBorder="1" applyAlignment="1">
      <alignment horizontal="right" vertical="center"/>
    </xf>
    <xf numFmtId="0" fontId="26" fillId="0" borderId="24" xfId="0" applyFont="1" applyBorder="1"/>
    <xf numFmtId="0" fontId="26" fillId="0" borderId="25" xfId="0" applyFont="1" applyBorder="1"/>
    <xf numFmtId="0" fontId="28" fillId="3" borderId="157" xfId="0" applyFont="1" applyFill="1" applyBorder="1" applyAlignment="1">
      <alignment horizontal="left" vertical="center"/>
    </xf>
    <xf numFmtId="0" fontId="28" fillId="22" borderId="154" xfId="0" applyFont="1" applyFill="1" applyBorder="1" applyAlignment="1">
      <alignment horizontal="left" vertical="center" wrapText="1"/>
    </xf>
    <xf numFmtId="0" fontId="26" fillId="21" borderId="155" xfId="0" applyFont="1" applyFill="1" applyBorder="1"/>
    <xf numFmtId="0" fontId="26" fillId="21" borderId="156" xfId="0" applyFont="1" applyFill="1" applyBorder="1"/>
    <xf numFmtId="0" fontId="28" fillId="3" borderId="17" xfId="0" applyFont="1" applyFill="1" applyBorder="1" applyAlignment="1">
      <alignment horizontal="left" vertical="center" wrapText="1"/>
    </xf>
    <xf numFmtId="0" fontId="26" fillId="0" borderId="57" xfId="0" applyFont="1" applyBorder="1"/>
    <xf numFmtId="0" fontId="26" fillId="0" borderId="58" xfId="0" applyFont="1" applyBorder="1"/>
    <xf numFmtId="0" fontId="28" fillId="22" borderId="165" xfId="0" applyFont="1" applyFill="1" applyBorder="1" applyAlignment="1">
      <alignment horizontal="left" vertical="center" wrapText="1"/>
    </xf>
    <xf numFmtId="0" fontId="28" fillId="3" borderId="168" xfId="0" applyFont="1" applyFill="1" applyBorder="1" applyAlignment="1">
      <alignment horizontal="left" vertical="center" wrapText="1"/>
    </xf>
    <xf numFmtId="0" fontId="28" fillId="22" borderId="40" xfId="0" applyFont="1" applyFill="1" applyBorder="1" applyAlignment="1">
      <alignment horizontal="left" vertical="center" wrapText="1"/>
    </xf>
    <xf numFmtId="0" fontId="26" fillId="21" borderId="41" xfId="0" applyFont="1" applyFill="1" applyBorder="1"/>
    <xf numFmtId="0" fontId="26" fillId="21" borderId="42" xfId="0" applyFont="1" applyFill="1" applyBorder="1"/>
    <xf numFmtId="0" fontId="28" fillId="3" borderId="35" xfId="0" applyFont="1" applyFill="1" applyBorder="1" applyAlignment="1">
      <alignment horizontal="left" vertical="center" wrapText="1"/>
    </xf>
    <xf numFmtId="0" fontId="26" fillId="0" borderId="36" xfId="0" applyFont="1" applyBorder="1"/>
    <xf numFmtId="0" fontId="26" fillId="0" borderId="37" xfId="0" applyFont="1" applyBorder="1"/>
    <xf numFmtId="0" fontId="28" fillId="3" borderId="44" xfId="0" applyFont="1" applyFill="1" applyBorder="1" applyAlignment="1">
      <alignment horizontal="left" vertical="center" wrapText="1"/>
    </xf>
    <xf numFmtId="0" fontId="26" fillId="11" borderId="45" xfId="0" applyFont="1" applyFill="1" applyBorder="1"/>
    <xf numFmtId="0" fontId="26" fillId="11" borderId="46" xfId="0" applyFont="1" applyFill="1" applyBorder="1"/>
    <xf numFmtId="0" fontId="28" fillId="3" borderId="162" xfId="0" applyFont="1" applyFill="1" applyBorder="1" applyAlignment="1">
      <alignment horizontal="left" vertical="center" wrapText="1"/>
    </xf>
    <xf numFmtId="0" fontId="28" fillId="3" borderId="61" xfId="0" applyFont="1" applyFill="1" applyBorder="1" applyAlignment="1">
      <alignment horizontal="left" vertical="center" wrapText="1"/>
    </xf>
    <xf numFmtId="0" fontId="26" fillId="0" borderId="166" xfId="0" applyFont="1" applyBorder="1"/>
    <xf numFmtId="0" fontId="26" fillId="0" borderId="167" xfId="0" applyFont="1" applyBorder="1"/>
    <xf numFmtId="0" fontId="28" fillId="3" borderId="57" xfId="0" applyFont="1" applyFill="1" applyBorder="1" applyAlignment="1">
      <alignment horizontal="left" vertical="center" wrapText="1"/>
    </xf>
    <xf numFmtId="0" fontId="28" fillId="22" borderId="168" xfId="0" applyFont="1" applyFill="1" applyBorder="1" applyAlignment="1">
      <alignment horizontal="left" vertical="center"/>
    </xf>
    <xf numFmtId="0" fontId="26" fillId="21" borderId="157" xfId="0" applyFont="1" applyFill="1" applyBorder="1"/>
    <xf numFmtId="0" fontId="26" fillId="21" borderId="158" xfId="0" applyFont="1" applyFill="1" applyBorder="1"/>
    <xf numFmtId="0" fontId="6" fillId="21" borderId="33" xfId="0" applyFont="1" applyFill="1" applyBorder="1" applyAlignment="1">
      <alignment horizontal="center" vertical="center" textRotation="90"/>
    </xf>
    <xf numFmtId="0" fontId="6" fillId="3" borderId="168" xfId="0" applyFont="1" applyFill="1" applyBorder="1" applyAlignment="1">
      <alignment horizontal="left" vertical="top" wrapText="1"/>
    </xf>
    <xf numFmtId="0" fontId="26" fillId="11" borderId="157" xfId="0" applyFont="1" applyFill="1" applyBorder="1" applyAlignment="1">
      <alignment vertical="top"/>
    </xf>
    <xf numFmtId="0" fontId="26" fillId="11" borderId="158" xfId="0" applyFont="1" applyFill="1" applyBorder="1" applyAlignment="1">
      <alignment vertical="top"/>
    </xf>
    <xf numFmtId="0" fontId="6" fillId="0" borderId="17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/>
    </xf>
    <xf numFmtId="0" fontId="6" fillId="21" borderId="40" xfId="0" applyFont="1" applyFill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4" fontId="29" fillId="0" borderId="32" xfId="0" applyNumberFormat="1" applyFont="1" applyBorder="1" applyAlignment="1">
      <alignment horizontal="right" vertical="center"/>
    </xf>
    <xf numFmtId="4" fontId="29" fillId="0" borderId="23" xfId="0" applyNumberFormat="1" applyFont="1" applyBorder="1" applyAlignment="1">
      <alignment horizontal="right" vertical="center"/>
    </xf>
    <xf numFmtId="0" fontId="6" fillId="11" borderId="168" xfId="0" applyFont="1" applyFill="1" applyBorder="1" applyAlignment="1">
      <alignment horizontal="left" vertical="center" wrapText="1"/>
    </xf>
    <xf numFmtId="0" fontId="6" fillId="11" borderId="157" xfId="0" applyFont="1" applyFill="1" applyBorder="1" applyAlignment="1">
      <alignment horizontal="left" vertical="center" wrapText="1"/>
    </xf>
    <xf numFmtId="0" fontId="6" fillId="11" borderId="158" xfId="0" applyFont="1" applyFill="1" applyBorder="1" applyAlignment="1">
      <alignment horizontal="left" vertical="center" wrapText="1"/>
    </xf>
    <xf numFmtId="0" fontId="6" fillId="21" borderId="165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rcentagem" xfId="1" builtinId="5"/>
  </cellStyles>
  <dxfs count="48"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1</xdr:row>
      <xdr:rowOff>57150</xdr:rowOff>
    </xdr:from>
    <xdr:ext cx="838200" cy="8286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42862</xdr:rowOff>
    </xdr:from>
    <xdr:ext cx="64770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42862"/>
          <a:ext cx="647700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orneiraeletronica.com.br/produto/barra-de-apoio-para-lavatorio-de-canto-53-032/161792" TargetMode="External"/><Relationship Id="rId13" Type="http://schemas.openxmlformats.org/officeDocument/2006/relationships/hyperlink" Target="https://www.kalunga.com.br/prod/dispenser-papel-toalha-interfolhas-2-3-dobras-branco-1070-biovis/324112?pcID=39&amp;gclid=Cj0KCQjwl8XtBRDAARIsAKfwtxB0A3TkHRg-1jHrcocbU4GQ12Fhpac_m0ix3KL0BxNAZQh-t1aRHlsaAvbLEALw_wcB" TargetMode="External"/><Relationship Id="rId18" Type="http://schemas.openxmlformats.org/officeDocument/2006/relationships/hyperlink" Target="https://www.cec.com.br/material-de-construcao/loucas/banheiro/bacia/caixa-acoplada/caixa-acoplada-duo-3/6-litros-vogue-plus-conforto-branca?produto=1227766" TargetMode="External"/><Relationship Id="rId3" Type="http://schemas.openxmlformats.org/officeDocument/2006/relationships/hyperlink" Target="https://www.taqi.com.br/produto/acessorios-para-banheiro/barra-de-apoio-jackwal-80-cm-reta-inox-6023/108235/" TargetMode="External"/><Relationship Id="rId21" Type="http://schemas.openxmlformats.org/officeDocument/2006/relationships/hyperlink" Target="https://www.taqi.com.br/produto/complementos-hidraulicos/conjunto-para-caixa-acoplada-roco-1240/183917/" TargetMode="External"/><Relationship Id="rId7" Type="http://schemas.openxmlformats.org/officeDocument/2006/relationships/hyperlink" Target="https://www.barracerta.com.br/produto/barra-para-lavatorio-de-canto/" TargetMode="External"/><Relationship Id="rId12" Type="http://schemas.openxmlformats.org/officeDocument/2006/relationships/hyperlink" Target="https://www.leroymerlin.com.br/dispenser-para-papel-toalha-folha-plastico-urban-premisse_89524841?store_code=32&amp;gclid=Cj0KCQjwl8XtBRDAARIsAKfwtxCAbNDuRwEpH8dMb1kivCta_8NpOVqC5lca743BVqEvE-rI7qD0CSIaAjhiEALw_wcB" TargetMode="External"/><Relationship Id="rId17" Type="http://schemas.openxmlformats.org/officeDocument/2006/relationships/hyperlink" Target="https://www.americanas.com.br/produto/43589641/caixa-acoplada-ecoflush-3-6-litros-smart-branca?pfm_carac=caixa%20acoplada%20celite&amp;pfm_index=8&amp;pfm_page=search&amp;pfm_pos=grid&amp;pfm_type=search_page%20&amp;sellerId" TargetMode="External"/><Relationship Id="rId2" Type="http://schemas.openxmlformats.org/officeDocument/2006/relationships/hyperlink" Target="https://www.taqi.com.br/produto/acessorios-para-banheiro/barra-apoio-astra-BP36-7/118743/" TargetMode="External"/><Relationship Id="rId16" Type="http://schemas.openxmlformats.org/officeDocument/2006/relationships/hyperlink" Target="https://www.telhanorte.com.br/caixa-acoplada-para-bacia-36-litros-universal-duna-vogue-plus-monte-carlo-village-fast-creme-deca-954675/p" TargetMode="External"/><Relationship Id="rId20" Type="http://schemas.openxmlformats.org/officeDocument/2006/relationships/hyperlink" Target="https://www.cec.com.br/metais-e-acessorios/acessorios/kits/conjunto-completo-para-caixa-acoplada-com-duplo-acionamento-cromado?produto=1229316" TargetMode="External"/><Relationship Id="rId1" Type="http://schemas.openxmlformats.org/officeDocument/2006/relationships/hyperlink" Target="https://www.cec.com.br/metais-e-acessorios/acessorios/barra-de-apoio/barra-de-apoio-inox-branco-80-cm?produto=1172832" TargetMode="External"/><Relationship Id="rId6" Type="http://schemas.openxmlformats.org/officeDocument/2006/relationships/hyperlink" Target="https://torneiraeletronica.com.br/produto/barra-apoio-para-banheiro-em-inox-reta-040cm-53-014/159144" TargetMode="External"/><Relationship Id="rId11" Type="http://schemas.openxmlformats.org/officeDocument/2006/relationships/hyperlink" Target="https://www.telhanorte.com.br/lavatorio-de-canto-suspenso-branco-celite-1060945/p?idsku=1060945&amp;gclid=Cj0KCQjwl8XtBRDAARIsAKfwtxCfwvz9_6koOy_XOnXQmE5MzTH470swXIzTP0asGCkN-7y5If0LX08aAsWhEALw_wcB" TargetMode="External"/><Relationship Id="rId5" Type="http://schemas.openxmlformats.org/officeDocument/2006/relationships/hyperlink" Target="https://www.americanas.com.br/produto/49918935/barra-de-protecao-para-pia-modelo-canto-em-aco-inox-barracerta-1?DCSext.recom=RR_item_page.rr1-CategorySiloedViewCP&amp;nm_origem=rec_item_page.rr1-CategorySiloedViewCP&amp;nm_ranking_rec=1" TargetMode="External"/><Relationship Id="rId15" Type="http://schemas.openxmlformats.org/officeDocument/2006/relationships/hyperlink" Target="https://torneiraeletronica.com.br/produto/dispenser-de-papel-toalha-aco-pintura-epoxi-interfolhas-14-008/162417" TargetMode="External"/><Relationship Id="rId10" Type="http://schemas.openxmlformats.org/officeDocument/2006/relationships/hyperlink" Target="https://www.taqi.com.br/produto/cubas/lavatorio-suspenso-de-canto-celite-335-x-335-cm/106624/" TargetMode="External"/><Relationship Id="rId19" Type="http://schemas.openxmlformats.org/officeDocument/2006/relationships/hyperlink" Target="https://www.leroymerlin.com.br/kit-universal-duplo-fluxo-para-caixa-acoplada-9562-censi_87732750?store_code=32" TargetMode="External"/><Relationship Id="rId4" Type="http://schemas.openxmlformats.org/officeDocument/2006/relationships/hyperlink" Target="https://www.leroymerlin.com.br/barra-de-apoio-normatizada-metal-80cm-sicmol_88458741" TargetMode="External"/><Relationship Id="rId9" Type="http://schemas.openxmlformats.org/officeDocument/2006/relationships/hyperlink" Target="https://www.leroymerlin.com.br/lavatorio-suspenso-canto-39,50x29x12,50cm-branco-celite_87792796" TargetMode="External"/><Relationship Id="rId14" Type="http://schemas.openxmlformats.org/officeDocument/2006/relationships/hyperlink" Target="https://comali.com.br/dispenser-interfolhado-2-ou-3-dobras-em-epoxi-branco-2825-aurima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24"/>
  <sheetViews>
    <sheetView tabSelected="1" topLeftCell="B1" zoomScale="80" zoomScaleNormal="80" workbookViewId="0">
      <pane ySplit="7" topLeftCell="A8" activePane="bottomLeft" state="frozen"/>
      <selection pane="bottomLeft" activeCell="G66" sqref="G66:H66"/>
    </sheetView>
  </sheetViews>
  <sheetFormatPr defaultColWidth="12.625" defaultRowHeight="15" customHeight="1"/>
  <cols>
    <col min="1" max="1" width="3.625" customWidth="1"/>
    <col min="2" max="2" width="8.375" customWidth="1"/>
    <col min="3" max="3" width="12.125" customWidth="1"/>
    <col min="4" max="4" width="10.125" customWidth="1"/>
    <col min="5" max="5" width="80.25" customWidth="1"/>
    <col min="6" max="6" width="6.625" customWidth="1"/>
    <col min="7" max="7" width="5.375" customWidth="1"/>
    <col min="8" max="8" width="6" customWidth="1"/>
    <col min="9" max="9" width="13.375" customWidth="1"/>
    <col min="10" max="10" width="13.75" customWidth="1"/>
    <col min="11" max="12" width="15.875" customWidth="1"/>
    <col min="13" max="13" width="17" customWidth="1"/>
    <col min="14" max="14" width="3.5" customWidth="1"/>
    <col min="15" max="16" width="9.5" customWidth="1"/>
    <col min="17" max="17" width="7.625" style="173" customWidth="1"/>
    <col min="18" max="18" width="29.375" customWidth="1"/>
    <col min="19" max="27" width="7.625" customWidth="1"/>
  </cols>
  <sheetData>
    <row r="1" spans="1:17" ht="15.75" thickBot="1">
      <c r="A1" s="1"/>
      <c r="N1" s="1"/>
    </row>
    <row r="2" spans="1:17" ht="18.75" customHeight="1">
      <c r="A2" s="3"/>
      <c r="B2" s="798" t="s">
        <v>472</v>
      </c>
      <c r="C2" s="799"/>
      <c r="D2" s="800"/>
      <c r="E2" s="800"/>
      <c r="F2" s="800"/>
      <c r="G2" s="800"/>
      <c r="H2" s="800"/>
      <c r="I2" s="800"/>
      <c r="J2" s="800"/>
      <c r="K2" s="800"/>
      <c r="L2" s="800"/>
      <c r="M2" s="801"/>
      <c r="N2" s="7"/>
      <c r="O2" s="53"/>
    </row>
    <row r="3" spans="1:17" ht="18.75" customHeight="1">
      <c r="A3" s="3"/>
      <c r="B3" s="806" t="s">
        <v>473</v>
      </c>
      <c r="C3" s="807"/>
      <c r="D3" s="804"/>
      <c r="E3" s="804"/>
      <c r="F3" s="804"/>
      <c r="G3" s="804"/>
      <c r="H3" s="804"/>
      <c r="I3" s="804"/>
      <c r="J3" s="804"/>
      <c r="K3" s="804"/>
      <c r="L3" s="804"/>
      <c r="M3" s="805"/>
      <c r="N3" s="7"/>
      <c r="O3" s="53"/>
    </row>
    <row r="4" spans="1:17" ht="18.75" customHeight="1">
      <c r="A4" s="3"/>
      <c r="B4" s="802" t="s">
        <v>7</v>
      </c>
      <c r="C4" s="803"/>
      <c r="D4" s="804"/>
      <c r="E4" s="804"/>
      <c r="F4" s="804"/>
      <c r="G4" s="804"/>
      <c r="H4" s="804"/>
      <c r="I4" s="804"/>
      <c r="J4" s="804"/>
      <c r="K4" s="804"/>
      <c r="L4" s="804"/>
      <c r="M4" s="805"/>
      <c r="N4" s="9"/>
      <c r="O4" s="54"/>
    </row>
    <row r="5" spans="1:17" ht="18.75" customHeight="1">
      <c r="A5" s="3"/>
      <c r="B5" s="806" t="s">
        <v>266</v>
      </c>
      <c r="C5" s="807"/>
      <c r="D5" s="804"/>
      <c r="E5" s="804"/>
      <c r="F5" s="804"/>
      <c r="G5" s="804"/>
      <c r="H5" s="804"/>
      <c r="I5" s="804"/>
      <c r="J5" s="804"/>
      <c r="K5" s="804"/>
      <c r="L5" s="804"/>
      <c r="M5" s="805"/>
      <c r="N5" s="7"/>
      <c r="O5" s="835" t="s">
        <v>10</v>
      </c>
      <c r="P5" s="804"/>
      <c r="Q5" s="580">
        <v>22.47</v>
      </c>
    </row>
    <row r="6" spans="1:17" s="61" customFormat="1" ht="18.75" customHeight="1">
      <c r="A6" s="40"/>
      <c r="B6" s="825" t="s">
        <v>80</v>
      </c>
      <c r="C6" s="823" t="s">
        <v>333</v>
      </c>
      <c r="D6" s="811" t="s">
        <v>13</v>
      </c>
      <c r="E6" s="812"/>
      <c r="F6" s="809" t="s">
        <v>16</v>
      </c>
      <c r="G6" s="811" t="s">
        <v>17</v>
      </c>
      <c r="H6" s="812"/>
      <c r="I6" s="827" t="s">
        <v>18</v>
      </c>
      <c r="J6" s="828"/>
      <c r="K6" s="827" t="s">
        <v>22</v>
      </c>
      <c r="L6" s="846"/>
      <c r="M6" s="847"/>
      <c r="N6" s="59"/>
      <c r="O6" s="60"/>
      <c r="Q6" s="373"/>
    </row>
    <row r="7" spans="1:17" s="61" customFormat="1" ht="29.25" customHeight="1" thickBot="1">
      <c r="A7" s="40"/>
      <c r="B7" s="826"/>
      <c r="C7" s="824"/>
      <c r="D7" s="813"/>
      <c r="E7" s="814"/>
      <c r="F7" s="810"/>
      <c r="G7" s="813"/>
      <c r="H7" s="814"/>
      <c r="I7" s="157" t="s">
        <v>27</v>
      </c>
      <c r="J7" s="157" t="s">
        <v>29</v>
      </c>
      <c r="K7" s="157" t="s">
        <v>30</v>
      </c>
      <c r="L7" s="157" t="s">
        <v>29</v>
      </c>
      <c r="M7" s="158" t="s">
        <v>31</v>
      </c>
      <c r="N7" s="41"/>
      <c r="O7" s="62" t="s">
        <v>34</v>
      </c>
      <c r="P7" s="62" t="s">
        <v>35</v>
      </c>
      <c r="Q7" s="434" t="s">
        <v>36</v>
      </c>
    </row>
    <row r="8" spans="1:17" s="61" customFormat="1" ht="15.75" customHeight="1">
      <c r="A8" s="40"/>
      <c r="B8" s="140">
        <v>1</v>
      </c>
      <c r="C8" s="140"/>
      <c r="D8" s="808" t="s">
        <v>38</v>
      </c>
      <c r="E8" s="637"/>
      <c r="F8" s="159"/>
      <c r="G8" s="816"/>
      <c r="H8" s="637"/>
      <c r="I8" s="153"/>
      <c r="J8" s="153"/>
      <c r="K8" s="153"/>
      <c r="L8" s="153"/>
      <c r="M8" s="160"/>
      <c r="N8" s="63"/>
      <c r="O8" s="64"/>
      <c r="P8" s="64"/>
      <c r="Q8" s="435"/>
    </row>
    <row r="9" spans="1:17" s="61" customFormat="1" ht="15.75" customHeight="1">
      <c r="A9" s="84"/>
      <c r="B9" s="243" t="s">
        <v>288</v>
      </c>
      <c r="C9" s="583" t="s">
        <v>477</v>
      </c>
      <c r="D9" s="817" t="s">
        <v>445</v>
      </c>
      <c r="E9" s="818"/>
      <c r="F9" s="188" t="s">
        <v>14</v>
      </c>
      <c r="G9" s="819">
        <f>1*1.2</f>
        <v>1.2</v>
      </c>
      <c r="H9" s="820"/>
      <c r="I9" s="42">
        <f>O9*(1+($Q$5/100))</f>
        <v>366.02608899999996</v>
      </c>
      <c r="J9" s="42">
        <f>P9*(1+($Q$5/100))</f>
        <v>32.687243000000002</v>
      </c>
      <c r="K9" s="42">
        <f>G9*I9</f>
        <v>439.23130679999991</v>
      </c>
      <c r="L9" s="42">
        <f>G9*J9</f>
        <v>39.2246916</v>
      </c>
      <c r="M9" s="146">
        <f>G9*(I9+J9)</f>
        <v>478.45599839999994</v>
      </c>
      <c r="N9" s="187"/>
      <c r="O9" s="56">
        <v>298.87</v>
      </c>
      <c r="P9" s="56">
        <v>26.69</v>
      </c>
      <c r="Q9" s="436">
        <f>M9/$M$169</f>
        <v>4.8997576571614644E-4</v>
      </c>
    </row>
    <row r="10" spans="1:17" s="61" customFormat="1" ht="30.75" customHeight="1">
      <c r="A10" s="84"/>
      <c r="B10" s="243" t="s">
        <v>289</v>
      </c>
      <c r="C10" s="189">
        <v>98525</v>
      </c>
      <c r="D10" s="817" t="s">
        <v>443</v>
      </c>
      <c r="E10" s="818"/>
      <c r="F10" s="188" t="s">
        <v>14</v>
      </c>
      <c r="G10" s="819">
        <v>450</v>
      </c>
      <c r="H10" s="820"/>
      <c r="I10" s="42">
        <f>O10*(1+($Q$5/100))</f>
        <v>0.24493999999999999</v>
      </c>
      <c r="J10" s="42">
        <f t="shared" ref="J10:J11" si="0">P10*(1+($Q$5/100))</f>
        <v>0.26943400000000001</v>
      </c>
      <c r="K10" s="42">
        <f>G10*I10</f>
        <v>110.223</v>
      </c>
      <c r="L10" s="42">
        <f>G10*J10</f>
        <v>121.2453</v>
      </c>
      <c r="M10" s="146">
        <f>G10*(I10+J10)</f>
        <v>231.4683</v>
      </c>
      <c r="N10" s="187"/>
      <c r="O10" s="58">
        <v>0.2</v>
      </c>
      <c r="P10" s="56">
        <v>0.22</v>
      </c>
      <c r="Q10" s="436">
        <f>M10/$M$169</f>
        <v>2.3704135366842694E-4</v>
      </c>
    </row>
    <row r="11" spans="1:17" s="61" customFormat="1" ht="28.5" customHeight="1">
      <c r="A11" s="40"/>
      <c r="B11" s="244" t="s">
        <v>290</v>
      </c>
      <c r="C11" s="123">
        <v>99059</v>
      </c>
      <c r="D11" s="817" t="s">
        <v>240</v>
      </c>
      <c r="E11" s="639"/>
      <c r="F11" s="65" t="s">
        <v>41</v>
      </c>
      <c r="G11" s="829">
        <v>64.5</v>
      </c>
      <c r="H11" s="726"/>
      <c r="I11" s="42">
        <f>O11*(1+($Q$5/100))</f>
        <v>29.956161999999999</v>
      </c>
      <c r="J11" s="42">
        <f t="shared" si="0"/>
        <v>29.674480999999997</v>
      </c>
      <c r="K11" s="42">
        <f>G11*I11</f>
        <v>1932.1724489999999</v>
      </c>
      <c r="L11" s="42">
        <f>G11*J11</f>
        <v>1914.0040244999998</v>
      </c>
      <c r="M11" s="146">
        <f>G11*(I11+J11)</f>
        <v>3846.1764734999997</v>
      </c>
      <c r="N11" s="41"/>
      <c r="O11" s="56">
        <v>24.46</v>
      </c>
      <c r="P11" s="56">
        <v>24.23</v>
      </c>
      <c r="Q11" s="436">
        <f>M11/$M$169</f>
        <v>3.9387807217061543E-3</v>
      </c>
    </row>
    <row r="12" spans="1:17" s="61" customFormat="1" ht="15.75" customHeight="1" thickBot="1">
      <c r="A12" s="66"/>
      <c r="B12" s="831" t="s">
        <v>49</v>
      </c>
      <c r="C12" s="832"/>
      <c r="D12" s="648"/>
      <c r="E12" s="648"/>
      <c r="F12" s="648"/>
      <c r="G12" s="648"/>
      <c r="H12" s="648"/>
      <c r="I12" s="648"/>
      <c r="J12" s="649"/>
      <c r="K12" s="117">
        <f>SUM(K9:K11)</f>
        <v>2481.6267558</v>
      </c>
      <c r="L12" s="117">
        <f>SUM(L9:L11)</f>
        <v>2074.4740161</v>
      </c>
      <c r="M12" s="118">
        <f>SUM(M9:M11)</f>
        <v>4556.1007718999999</v>
      </c>
      <c r="N12" s="41"/>
      <c r="O12" s="64"/>
      <c r="P12" s="64"/>
      <c r="Q12" s="435">
        <f>M12/$M$169</f>
        <v>4.6657978410907276E-3</v>
      </c>
    </row>
    <row r="13" spans="1:17" s="61" customFormat="1" ht="15.75" customHeight="1">
      <c r="A13" s="66"/>
      <c r="B13" s="156">
        <v>2</v>
      </c>
      <c r="C13" s="156"/>
      <c r="D13" s="636" t="s">
        <v>52</v>
      </c>
      <c r="E13" s="637"/>
      <c r="F13" s="152"/>
      <c r="G13" s="830"/>
      <c r="H13" s="637"/>
      <c r="I13" s="153"/>
      <c r="J13" s="153"/>
      <c r="K13" s="153"/>
      <c r="L13" s="153"/>
      <c r="M13" s="154"/>
      <c r="N13" s="41"/>
      <c r="O13" s="55"/>
      <c r="P13" s="55"/>
      <c r="Q13" s="437"/>
    </row>
    <row r="14" spans="1:17" s="61" customFormat="1" ht="29.25" customHeight="1">
      <c r="A14" s="107"/>
      <c r="B14" s="286" t="s">
        <v>291</v>
      </c>
      <c r="C14" s="287">
        <v>100897</v>
      </c>
      <c r="D14" s="817" t="s">
        <v>393</v>
      </c>
      <c r="E14" s="821"/>
      <c r="F14" s="65" t="s">
        <v>41</v>
      </c>
      <c r="G14" s="815">
        <v>72</v>
      </c>
      <c r="H14" s="726"/>
      <c r="I14" s="42">
        <f t="shared" ref="I14:J15" si="1">O14*(1+($Q$5/100))</f>
        <v>136.82348399999998</v>
      </c>
      <c r="J14" s="42">
        <f t="shared" si="1"/>
        <v>10.189503999999999</v>
      </c>
      <c r="K14" s="42">
        <f t="shared" ref="K14:K24" si="2">G14*I14</f>
        <v>9851.2908479999987</v>
      </c>
      <c r="L14" s="42">
        <f t="shared" ref="L14:L24" si="3">G14*J14</f>
        <v>733.64428799999996</v>
      </c>
      <c r="M14" s="146">
        <f t="shared" ref="M14:M24" si="4">G14*(I14+J14)</f>
        <v>10584.935135999998</v>
      </c>
      <c r="N14" s="266"/>
      <c r="O14" s="56">
        <v>111.72</v>
      </c>
      <c r="P14" s="56">
        <v>8.32</v>
      </c>
      <c r="Q14" s="436">
        <f t="shared" ref="Q14:Q25" si="5">M14/$M$169</f>
        <v>1.0839788226422082E-2</v>
      </c>
    </row>
    <row r="15" spans="1:17" s="61" customFormat="1" ht="29.25" customHeight="1">
      <c r="A15" s="342"/>
      <c r="B15" s="286" t="s">
        <v>292</v>
      </c>
      <c r="C15" s="287">
        <v>101166</v>
      </c>
      <c r="D15" s="817" t="s">
        <v>395</v>
      </c>
      <c r="E15" s="822"/>
      <c r="F15" s="65" t="s">
        <v>14</v>
      </c>
      <c r="G15" s="815">
        <v>11.62</v>
      </c>
      <c r="H15" s="879"/>
      <c r="I15" s="42">
        <f t="shared" si="1"/>
        <v>486.29162899999994</v>
      </c>
      <c r="J15" s="42">
        <f t="shared" si="1"/>
        <v>304.33794999999998</v>
      </c>
      <c r="K15" s="42">
        <f t="shared" si="2"/>
        <v>5650.7087289799993</v>
      </c>
      <c r="L15" s="42">
        <f t="shared" si="3"/>
        <v>3536.4069789999994</v>
      </c>
      <c r="M15" s="146">
        <f t="shared" si="4"/>
        <v>9187.1157079799978</v>
      </c>
      <c r="N15" s="187"/>
      <c r="O15" s="56">
        <v>397.07</v>
      </c>
      <c r="P15" s="56">
        <v>248.5</v>
      </c>
      <c r="Q15" s="436">
        <f t="shared" si="5"/>
        <v>9.4083135519120644E-3</v>
      </c>
    </row>
    <row r="16" spans="1:17" s="61" customFormat="1" ht="14.25" customHeight="1">
      <c r="A16" s="107"/>
      <c r="B16" s="286" t="s">
        <v>293</v>
      </c>
      <c r="C16" s="287">
        <v>96523</v>
      </c>
      <c r="D16" s="833" t="s">
        <v>63</v>
      </c>
      <c r="E16" s="834"/>
      <c r="F16" s="65" t="s">
        <v>4</v>
      </c>
      <c r="G16" s="815">
        <v>3.53</v>
      </c>
      <c r="H16" s="726"/>
      <c r="I16" s="42">
        <f t="shared" ref="I16:J16" si="6">O16*(1+($Q$5/100))</f>
        <v>27.996641999999998</v>
      </c>
      <c r="J16" s="42">
        <f t="shared" si="6"/>
        <v>89.207148000000004</v>
      </c>
      <c r="K16" s="42">
        <f t="shared" si="2"/>
        <v>98.828146259999983</v>
      </c>
      <c r="L16" s="42">
        <f t="shared" si="3"/>
        <v>314.90123244</v>
      </c>
      <c r="M16" s="146">
        <f t="shared" si="4"/>
        <v>413.72937869999998</v>
      </c>
      <c r="N16" s="266"/>
      <c r="O16" s="56">
        <v>22.86</v>
      </c>
      <c r="P16" s="56">
        <v>72.84</v>
      </c>
      <c r="Q16" s="436">
        <f t="shared" si="5"/>
        <v>4.2369072559588178E-4</v>
      </c>
    </row>
    <row r="17" spans="1:37" s="61" customFormat="1" ht="17.25" customHeight="1">
      <c r="A17" s="107"/>
      <c r="B17" s="286" t="s">
        <v>294</v>
      </c>
      <c r="C17" s="287">
        <v>96527</v>
      </c>
      <c r="D17" s="817" t="s">
        <v>402</v>
      </c>
      <c r="E17" s="821"/>
      <c r="F17" s="65" t="s">
        <v>4</v>
      </c>
      <c r="G17" s="815">
        <v>20.6</v>
      </c>
      <c r="H17" s="726"/>
      <c r="I17" s="42">
        <f t="shared" ref="I17:J17" si="7">O17*(1+($Q$5/100))</f>
        <v>36.924704999999996</v>
      </c>
      <c r="J17" s="42">
        <f t="shared" si="7"/>
        <v>117.11806099999998</v>
      </c>
      <c r="K17" s="42">
        <f t="shared" si="2"/>
        <v>760.64892299999997</v>
      </c>
      <c r="L17" s="42">
        <f t="shared" si="3"/>
        <v>2412.6320565999999</v>
      </c>
      <c r="M17" s="146">
        <f t="shared" si="4"/>
        <v>3173.2809795999997</v>
      </c>
      <c r="N17" s="266"/>
      <c r="O17" s="56">
        <v>30.15</v>
      </c>
      <c r="P17" s="56">
        <v>95.63</v>
      </c>
      <c r="Q17" s="436">
        <f t="shared" si="5"/>
        <v>3.2496839479732465E-3</v>
      </c>
      <c r="R17" s="299"/>
    </row>
    <row r="18" spans="1:37" s="89" customFormat="1" ht="30" customHeight="1">
      <c r="A18" s="101"/>
      <c r="B18" s="598" t="s">
        <v>295</v>
      </c>
      <c r="C18" s="282">
        <v>96624</v>
      </c>
      <c r="D18" s="778" t="s">
        <v>444</v>
      </c>
      <c r="E18" s="645"/>
      <c r="F18" s="272" t="s">
        <v>4</v>
      </c>
      <c r="G18" s="652">
        <v>1.18</v>
      </c>
      <c r="H18" s="643"/>
      <c r="I18" s="232">
        <f t="shared" ref="I18:J18" si="8">O18*(1+($Q$5/100))</f>
        <v>109.90457799999999</v>
      </c>
      <c r="J18" s="232">
        <f t="shared" si="8"/>
        <v>32.283091999999996</v>
      </c>
      <c r="K18" s="232">
        <f t="shared" si="2"/>
        <v>129.68740203999997</v>
      </c>
      <c r="L18" s="232">
        <f t="shared" si="3"/>
        <v>38.09404855999999</v>
      </c>
      <c r="M18" s="233">
        <f t="shared" si="4"/>
        <v>167.78145059999994</v>
      </c>
      <c r="N18" s="102"/>
      <c r="O18" s="103">
        <v>89.74</v>
      </c>
      <c r="P18" s="103">
        <v>26.36</v>
      </c>
      <c r="Q18" s="438">
        <f t="shared" si="5"/>
        <v>1.7182111835908542E-4</v>
      </c>
    </row>
    <row r="19" spans="1:37" s="89" customFormat="1" ht="27" customHeight="1">
      <c r="A19" s="101"/>
      <c r="B19" s="598" t="s">
        <v>296</v>
      </c>
      <c r="C19" s="282">
        <v>96531</v>
      </c>
      <c r="D19" s="657" t="s">
        <v>78</v>
      </c>
      <c r="E19" s="645"/>
      <c r="F19" s="272" t="s">
        <v>14</v>
      </c>
      <c r="G19" s="652">
        <v>20.16</v>
      </c>
      <c r="H19" s="643"/>
      <c r="I19" s="232">
        <f t="shared" ref="I19:J19" si="9">O19*(1+($Q$5/100))</f>
        <v>71.975618999999995</v>
      </c>
      <c r="J19" s="232">
        <f t="shared" si="9"/>
        <v>53.37242599999999</v>
      </c>
      <c r="K19" s="232">
        <f t="shared" si="2"/>
        <v>1451.0284790399999</v>
      </c>
      <c r="L19" s="232">
        <f t="shared" si="3"/>
        <v>1075.9881081599999</v>
      </c>
      <c r="M19" s="233">
        <f t="shared" si="4"/>
        <v>2527.0165871999998</v>
      </c>
      <c r="N19" s="102"/>
      <c r="O19" s="103">
        <v>58.77</v>
      </c>
      <c r="P19" s="103">
        <v>43.58</v>
      </c>
      <c r="Q19" s="438">
        <f t="shared" si="5"/>
        <v>2.5878594717827731E-3</v>
      </c>
      <c r="R19" s="281"/>
      <c r="S19" s="281"/>
      <c r="T19" s="281"/>
      <c r="U19" s="281"/>
      <c r="V19" s="281"/>
      <c r="W19" s="281"/>
      <c r="X19" s="281"/>
      <c r="Y19" s="281"/>
      <c r="Z19" s="281"/>
      <c r="AA19" s="281"/>
    </row>
    <row r="20" spans="1:37" s="89" customFormat="1" ht="30" customHeight="1">
      <c r="A20" s="101"/>
      <c r="B20" s="598" t="s">
        <v>297</v>
      </c>
      <c r="C20" s="282">
        <v>96533</v>
      </c>
      <c r="D20" s="657" t="s">
        <v>79</v>
      </c>
      <c r="E20" s="645"/>
      <c r="F20" s="272" t="s">
        <v>14</v>
      </c>
      <c r="G20" s="652">
        <v>79.2</v>
      </c>
      <c r="H20" s="643"/>
      <c r="I20" s="232">
        <f t="shared" ref="I20:J20" si="10">O20*(1+($Q$5/100))</f>
        <v>65.484708999999995</v>
      </c>
      <c r="J20" s="232">
        <f t="shared" si="10"/>
        <v>44.040211999999997</v>
      </c>
      <c r="K20" s="232">
        <f t="shared" si="2"/>
        <v>5186.3889528</v>
      </c>
      <c r="L20" s="232">
        <f t="shared" si="3"/>
        <v>3487.9847903999998</v>
      </c>
      <c r="M20" s="233">
        <f t="shared" si="4"/>
        <v>8674.3737431999998</v>
      </c>
      <c r="N20" s="102"/>
      <c r="O20" s="103">
        <v>53.47</v>
      </c>
      <c r="P20" s="103">
        <v>35.96</v>
      </c>
      <c r="Q20" s="438">
        <f t="shared" si="5"/>
        <v>8.8832263178758725E-3</v>
      </c>
      <c r="R20" s="281"/>
      <c r="S20" s="281"/>
      <c r="T20" s="281"/>
      <c r="U20" s="281"/>
      <c r="V20" s="281"/>
      <c r="W20" s="281"/>
      <c r="X20" s="281"/>
      <c r="Y20" s="281"/>
      <c r="Z20" s="281"/>
      <c r="AA20" s="281"/>
    </row>
    <row r="21" spans="1:37" s="89" customFormat="1" ht="15" customHeight="1">
      <c r="A21" s="101"/>
      <c r="B21" s="598" t="s">
        <v>298</v>
      </c>
      <c r="C21" s="282">
        <v>95579</v>
      </c>
      <c r="D21" s="640" t="s">
        <v>394</v>
      </c>
      <c r="E21" s="728"/>
      <c r="F21" s="272" t="s">
        <v>26</v>
      </c>
      <c r="G21" s="652">
        <v>384</v>
      </c>
      <c r="H21" s="643"/>
      <c r="I21" s="232">
        <f t="shared" ref="I21:J21" si="11">O21*(1+($Q$5/100))</f>
        <v>11.463191999999998</v>
      </c>
      <c r="J21" s="232">
        <f t="shared" si="11"/>
        <v>0.342916</v>
      </c>
      <c r="K21" s="232">
        <f t="shared" si="2"/>
        <v>4401.8657279999989</v>
      </c>
      <c r="L21" s="232">
        <f t="shared" si="3"/>
        <v>131.679744</v>
      </c>
      <c r="M21" s="233">
        <f t="shared" si="4"/>
        <v>4533.5454719999998</v>
      </c>
      <c r="N21" s="102"/>
      <c r="O21" s="103">
        <v>9.36</v>
      </c>
      <c r="P21" s="103">
        <v>0.28000000000000003</v>
      </c>
      <c r="Q21" s="438">
        <f t="shared" si="5"/>
        <v>4.6426994780721488E-3</v>
      </c>
      <c r="R21" s="343"/>
    </row>
    <row r="22" spans="1:37" s="89" customFormat="1" ht="29.25" customHeight="1">
      <c r="A22" s="161"/>
      <c r="B22" s="598" t="s">
        <v>299</v>
      </c>
      <c r="C22" s="282">
        <v>96543</v>
      </c>
      <c r="D22" s="880" t="s">
        <v>286</v>
      </c>
      <c r="E22" s="752"/>
      <c r="F22" s="272" t="s">
        <v>26</v>
      </c>
      <c r="G22" s="652">
        <v>253</v>
      </c>
      <c r="H22" s="653"/>
      <c r="I22" s="232">
        <f t="shared" ref="I22" si="12">O22*(1+($Q$5/100))</f>
        <v>14.500447999999999</v>
      </c>
      <c r="J22" s="232">
        <f t="shared" ref="J22" si="13">P22*(1+($Q$5/100))</f>
        <v>7.6298810000000001</v>
      </c>
      <c r="K22" s="232">
        <f t="shared" ref="K22" si="14">G22*I22</f>
        <v>3668.6133439999999</v>
      </c>
      <c r="L22" s="232">
        <f t="shared" ref="L22" si="15">G22*J22</f>
        <v>1930.3598930000001</v>
      </c>
      <c r="M22" s="233">
        <f t="shared" ref="M22" si="16">G22*(I22+J22)</f>
        <v>5598.9732370000002</v>
      </c>
      <c r="N22" s="162"/>
      <c r="O22" s="103">
        <v>11.84</v>
      </c>
      <c r="P22" s="103">
        <v>6.23</v>
      </c>
      <c r="Q22" s="438">
        <f t="shared" si="5"/>
        <v>5.733779507827959E-3</v>
      </c>
    </row>
    <row r="23" spans="1:37" s="89" customFormat="1" ht="14.25" customHeight="1">
      <c r="A23" s="101"/>
      <c r="B23" s="598" t="s">
        <v>300</v>
      </c>
      <c r="C23" s="282">
        <v>96545</v>
      </c>
      <c r="D23" s="657" t="s">
        <v>84</v>
      </c>
      <c r="E23" s="645"/>
      <c r="F23" s="272" t="s">
        <v>26</v>
      </c>
      <c r="G23" s="652">
        <v>327.36</v>
      </c>
      <c r="H23" s="643"/>
      <c r="I23" s="232">
        <f t="shared" ref="I23:J23" si="17">O23*(1+($Q$5/100))</f>
        <v>15.125044999999998</v>
      </c>
      <c r="J23" s="232">
        <f t="shared" si="17"/>
        <v>4.0047689999999996</v>
      </c>
      <c r="K23" s="232">
        <f t="shared" si="2"/>
        <v>4951.3347311999996</v>
      </c>
      <c r="L23" s="232">
        <f t="shared" si="3"/>
        <v>1311.0011798399998</v>
      </c>
      <c r="M23" s="233">
        <f t="shared" si="4"/>
        <v>6262.3359110399988</v>
      </c>
      <c r="N23" s="102"/>
      <c r="O23" s="103">
        <v>12.35</v>
      </c>
      <c r="P23" s="103">
        <v>3.27</v>
      </c>
      <c r="Q23" s="438">
        <f t="shared" si="5"/>
        <v>6.413113940350895E-3</v>
      </c>
    </row>
    <row r="24" spans="1:37" s="89" customFormat="1" ht="30" customHeight="1">
      <c r="A24" s="101"/>
      <c r="B24" s="598" t="s">
        <v>503</v>
      </c>
      <c r="C24" s="282">
        <v>96557</v>
      </c>
      <c r="D24" s="839" t="s">
        <v>87</v>
      </c>
      <c r="E24" s="701"/>
      <c r="F24" s="272" t="s">
        <v>4</v>
      </c>
      <c r="G24" s="652">
        <v>11.45</v>
      </c>
      <c r="H24" s="643"/>
      <c r="I24" s="232">
        <f t="shared" ref="I24:J24" si="18">O24*(1+($Q$5/100))</f>
        <v>776.71698700000002</v>
      </c>
      <c r="J24" s="232">
        <f t="shared" si="18"/>
        <v>19.619693999999999</v>
      </c>
      <c r="K24" s="232">
        <f t="shared" si="2"/>
        <v>8893.4095011499994</v>
      </c>
      <c r="L24" s="232">
        <f t="shared" si="3"/>
        <v>224.64549629999996</v>
      </c>
      <c r="M24" s="233">
        <f t="shared" si="4"/>
        <v>9118.0549974499991</v>
      </c>
      <c r="N24" s="102"/>
      <c r="O24" s="103">
        <v>634.21</v>
      </c>
      <c r="P24" s="103">
        <v>16.02</v>
      </c>
      <c r="Q24" s="438">
        <f t="shared" si="5"/>
        <v>9.3375900692177424E-3</v>
      </c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</row>
    <row r="25" spans="1:37" s="61" customFormat="1" ht="15.75" customHeight="1" thickBot="1">
      <c r="A25" s="66"/>
      <c r="B25" s="831" t="s">
        <v>90</v>
      </c>
      <c r="C25" s="832"/>
      <c r="D25" s="648"/>
      <c r="E25" s="648"/>
      <c r="F25" s="648"/>
      <c r="G25" s="648"/>
      <c r="H25" s="648"/>
      <c r="I25" s="648"/>
      <c r="J25" s="649"/>
      <c r="K25" s="117">
        <f t="shared" ref="K25:M25" si="19">SUM(K14:K24)</f>
        <v>45043.804784470005</v>
      </c>
      <c r="L25" s="117">
        <f t="shared" si="19"/>
        <v>15197.337816299998</v>
      </c>
      <c r="M25" s="118">
        <f t="shared" si="19"/>
        <v>60241.142600769992</v>
      </c>
      <c r="N25" s="41"/>
      <c r="O25" s="64"/>
      <c r="P25" s="64"/>
      <c r="Q25" s="435">
        <f t="shared" si="5"/>
        <v>6.1691566355389749E-2</v>
      </c>
    </row>
    <row r="26" spans="1:37" s="61" customFormat="1" ht="15.75" customHeight="1">
      <c r="A26" s="66"/>
      <c r="B26" s="321">
        <v>3</v>
      </c>
      <c r="C26" s="316"/>
      <c r="D26" s="636" t="s">
        <v>88</v>
      </c>
      <c r="E26" s="637"/>
      <c r="F26" s="152"/>
      <c r="G26" s="830"/>
      <c r="H26" s="637"/>
      <c r="I26" s="153"/>
      <c r="J26" s="153"/>
      <c r="K26" s="153"/>
      <c r="L26" s="153"/>
      <c r="M26" s="154"/>
      <c r="N26" s="41"/>
      <c r="O26" s="55"/>
      <c r="P26" s="55"/>
      <c r="Q26" s="437"/>
    </row>
    <row r="27" spans="1:37" s="61" customFormat="1" ht="43.5" customHeight="1">
      <c r="A27" s="40"/>
      <c r="B27" s="322" t="s">
        <v>301</v>
      </c>
      <c r="C27" s="317">
        <v>92413</v>
      </c>
      <c r="D27" s="850" t="s">
        <v>440</v>
      </c>
      <c r="E27" s="639"/>
      <c r="F27" s="67" t="s">
        <v>14</v>
      </c>
      <c r="G27" s="838">
        <v>44.64</v>
      </c>
      <c r="H27" s="726"/>
      <c r="I27" s="42">
        <f t="shared" ref="I27:J27" si="20">O27*(1+($Q$5/100))</f>
        <v>58.295719999999996</v>
      </c>
      <c r="J27" s="42">
        <f t="shared" si="20"/>
        <v>65.533696999999989</v>
      </c>
      <c r="K27" s="42">
        <f t="shared" ref="K27:K31" si="21">G27*I27</f>
        <v>2602.3209407999998</v>
      </c>
      <c r="L27" s="42">
        <f t="shared" ref="L27:L31" si="22">G27*J27</f>
        <v>2925.4242340799997</v>
      </c>
      <c r="M27" s="146">
        <f t="shared" ref="M27:M31" si="23">G27*(I27+J27)</f>
        <v>5527.7451748799995</v>
      </c>
      <c r="N27" s="41"/>
      <c r="O27" s="58">
        <v>47.6</v>
      </c>
      <c r="P27" s="56">
        <v>53.51</v>
      </c>
      <c r="Q27" s="436">
        <f t="shared" ref="Q27:Q35" si="24">M27/$M$169</f>
        <v>5.6608364902998405E-3</v>
      </c>
    </row>
    <row r="28" spans="1:37" s="61" customFormat="1" ht="36" customHeight="1">
      <c r="A28" s="40"/>
      <c r="B28" s="323" t="s">
        <v>302</v>
      </c>
      <c r="C28" s="318">
        <v>92448</v>
      </c>
      <c r="D28" s="657" t="s">
        <v>92</v>
      </c>
      <c r="E28" s="645"/>
      <c r="F28" s="230" t="s">
        <v>14</v>
      </c>
      <c r="G28" s="695">
        <v>79.2</v>
      </c>
      <c r="H28" s="643"/>
      <c r="I28" s="232">
        <f t="shared" ref="I28:J28" si="25">O28*(1+($Q$5/100))</f>
        <v>88.38659899999999</v>
      </c>
      <c r="J28" s="232">
        <f t="shared" si="25"/>
        <v>68.656682000000004</v>
      </c>
      <c r="K28" s="232">
        <f t="shared" si="21"/>
        <v>7000.2186407999998</v>
      </c>
      <c r="L28" s="232">
        <f t="shared" si="22"/>
        <v>5437.6092144000004</v>
      </c>
      <c r="M28" s="233">
        <f t="shared" si="23"/>
        <v>12437.827855199999</v>
      </c>
      <c r="N28" s="41"/>
      <c r="O28" s="56">
        <v>72.17</v>
      </c>
      <c r="P28" s="56">
        <v>56.06</v>
      </c>
      <c r="Q28" s="436">
        <f t="shared" si="24"/>
        <v>1.2737292974854333E-2</v>
      </c>
      <c r="R28" s="97"/>
    </row>
    <row r="29" spans="1:37" s="61" customFormat="1" ht="31.5" customHeight="1">
      <c r="A29" s="84"/>
      <c r="B29" s="322" t="s">
        <v>303</v>
      </c>
      <c r="C29" s="317">
        <v>101963</v>
      </c>
      <c r="D29" s="817" t="s">
        <v>441</v>
      </c>
      <c r="E29" s="639"/>
      <c r="F29" s="228" t="s">
        <v>14</v>
      </c>
      <c r="G29" s="838">
        <v>380.66</v>
      </c>
      <c r="H29" s="726"/>
      <c r="I29" s="42">
        <f t="shared" ref="I29" si="26">O29*(1+($Q$5/100))</f>
        <v>179.369562</v>
      </c>
      <c r="J29" s="42">
        <f t="shared" ref="J29" si="27">P29*(1+($Q$5/100))</f>
        <v>32.552525999999993</v>
      </c>
      <c r="K29" s="42">
        <f t="shared" ref="K29" si="28">G29*I29</f>
        <v>68278.81747092001</v>
      </c>
      <c r="L29" s="42">
        <f t="shared" ref="L29" si="29">G29*J29</f>
        <v>12391.444547159997</v>
      </c>
      <c r="M29" s="146">
        <f t="shared" ref="M29" si="30">G29*(I29+J29)</f>
        <v>80670.26201808</v>
      </c>
      <c r="N29" s="104"/>
      <c r="O29" s="58">
        <v>146.46</v>
      </c>
      <c r="P29" s="57">
        <v>26.58</v>
      </c>
      <c r="Q29" s="436">
        <f t="shared" si="24"/>
        <v>8.261255692270765E-2</v>
      </c>
    </row>
    <row r="30" spans="1:37" s="61" customFormat="1" ht="36" customHeight="1">
      <c r="A30" s="40"/>
      <c r="B30" s="323" t="s">
        <v>304</v>
      </c>
      <c r="C30" s="318">
        <v>103674</v>
      </c>
      <c r="D30" s="778" t="s">
        <v>433</v>
      </c>
      <c r="E30" s="656"/>
      <c r="F30" s="230" t="s">
        <v>4</v>
      </c>
      <c r="G30" s="695">
        <v>7.92</v>
      </c>
      <c r="H30" s="643"/>
      <c r="I30" s="231">
        <f t="shared" ref="I30:J30" si="31">O30*(1+($Q$5/100))</f>
        <v>733.9627099999999</v>
      </c>
      <c r="J30" s="232">
        <f t="shared" si="31"/>
        <v>55.638120999999998</v>
      </c>
      <c r="K30" s="232">
        <f t="shared" si="21"/>
        <v>5812.984663199999</v>
      </c>
      <c r="L30" s="232">
        <f t="shared" si="22"/>
        <v>440.65391832</v>
      </c>
      <c r="M30" s="233">
        <f t="shared" si="23"/>
        <v>6253.6385815199992</v>
      </c>
      <c r="N30" s="41"/>
      <c r="O30" s="56">
        <v>599.29999999999995</v>
      </c>
      <c r="P30" s="56">
        <v>45.43</v>
      </c>
      <c r="Q30" s="436">
        <f t="shared" si="24"/>
        <v>6.4042072055508336E-3</v>
      </c>
    </row>
    <row r="31" spans="1:37" s="61" customFormat="1" ht="35.25" customHeight="1">
      <c r="A31" s="40"/>
      <c r="B31" s="322" t="s">
        <v>305</v>
      </c>
      <c r="C31" s="317">
        <v>103672</v>
      </c>
      <c r="D31" s="844" t="s">
        <v>442</v>
      </c>
      <c r="E31" s="639"/>
      <c r="F31" s="67" t="s">
        <v>4</v>
      </c>
      <c r="G31" s="838">
        <v>5.95</v>
      </c>
      <c r="H31" s="726"/>
      <c r="I31" s="42">
        <f t="shared" ref="I31:J32" si="32">O31*(1+($Q$5/100))</f>
        <v>729.00267499999995</v>
      </c>
      <c r="J31" s="42">
        <f t="shared" si="32"/>
        <v>37.304361999999998</v>
      </c>
      <c r="K31" s="42">
        <f t="shared" si="21"/>
        <v>4337.5659162499996</v>
      </c>
      <c r="L31" s="42">
        <f t="shared" si="22"/>
        <v>221.96095389999999</v>
      </c>
      <c r="M31" s="146">
        <f t="shared" si="23"/>
        <v>4559.5268701499999</v>
      </c>
      <c r="N31" s="41"/>
      <c r="O31" s="56">
        <v>595.25</v>
      </c>
      <c r="P31" s="56">
        <v>30.46</v>
      </c>
      <c r="Q31" s="436">
        <f t="shared" si="24"/>
        <v>4.6693064293811372E-3</v>
      </c>
    </row>
    <row r="32" spans="1:37" s="61" customFormat="1" ht="34.5" customHeight="1">
      <c r="A32" s="84"/>
      <c r="B32" s="324" t="s">
        <v>306</v>
      </c>
      <c r="C32" s="319">
        <v>92760</v>
      </c>
      <c r="D32" s="727" t="s">
        <v>434</v>
      </c>
      <c r="E32" s="643"/>
      <c r="F32" s="251" t="s">
        <v>26</v>
      </c>
      <c r="G32" s="642">
        <v>538.20000000000005</v>
      </c>
      <c r="H32" s="643"/>
      <c r="I32" s="231">
        <f t="shared" si="32"/>
        <v>14.341237</v>
      </c>
      <c r="J32" s="231">
        <f t="shared" si="32"/>
        <v>3.0250089999999998</v>
      </c>
      <c r="K32" s="231">
        <f t="shared" ref="K32" si="33">G32*I32</f>
        <v>7718.4537534000001</v>
      </c>
      <c r="L32" s="231">
        <f t="shared" ref="L32" si="34">G32*J32</f>
        <v>1628.0598438</v>
      </c>
      <c r="M32" s="252">
        <f t="shared" ref="M32" si="35">G32*(I32+J32)</f>
        <v>9346.5135972000007</v>
      </c>
      <c r="N32" s="274"/>
      <c r="O32" s="103">
        <v>11.71</v>
      </c>
      <c r="P32" s="103">
        <v>2.4700000000000002</v>
      </c>
      <c r="Q32" s="438">
        <f t="shared" si="24"/>
        <v>9.5715492581949519E-3</v>
      </c>
    </row>
    <row r="33" spans="1:37" s="61" customFormat="1" ht="32.25" customHeight="1">
      <c r="A33" s="84"/>
      <c r="B33" s="375" t="s">
        <v>307</v>
      </c>
      <c r="C33" s="369">
        <v>92762</v>
      </c>
      <c r="D33" s="840" t="s">
        <v>396</v>
      </c>
      <c r="E33" s="841"/>
      <c r="F33" s="370" t="s">
        <v>26</v>
      </c>
      <c r="G33" s="836">
        <v>696.36</v>
      </c>
      <c r="H33" s="837"/>
      <c r="I33" s="248">
        <f t="shared" ref="I33:J35" si="36">O33*(1+($Q$5/100))</f>
        <v>13.594169999999998</v>
      </c>
      <c r="J33" s="248">
        <f t="shared" si="36"/>
        <v>1.2859350000000001</v>
      </c>
      <c r="K33" s="231">
        <f>G33*I33</f>
        <v>9466.4362211999996</v>
      </c>
      <c r="L33" s="231">
        <f>G33*J33</f>
        <v>895.47369660000004</v>
      </c>
      <c r="M33" s="252">
        <f>G33*(I33+J33)</f>
        <v>10361.9099178</v>
      </c>
      <c r="N33" s="274"/>
      <c r="O33" s="406">
        <v>11.1</v>
      </c>
      <c r="P33" s="87">
        <v>1.05</v>
      </c>
      <c r="Q33" s="439">
        <f t="shared" si="24"/>
        <v>1.0611393238320801E-2</v>
      </c>
      <c r="R33" s="373"/>
    </row>
    <row r="34" spans="1:37" s="61" customFormat="1" ht="32.25" customHeight="1">
      <c r="A34" s="84"/>
      <c r="B34" s="599" t="s">
        <v>342</v>
      </c>
      <c r="C34" s="320">
        <v>101973</v>
      </c>
      <c r="D34" s="885" t="s">
        <v>431</v>
      </c>
      <c r="E34" s="886"/>
      <c r="F34" s="225" t="s">
        <v>14</v>
      </c>
      <c r="G34" s="739">
        <v>10.71</v>
      </c>
      <c r="H34" s="887"/>
      <c r="I34" s="248">
        <f t="shared" si="36"/>
        <v>141.354874</v>
      </c>
      <c r="J34" s="248">
        <f t="shared" si="36"/>
        <v>29.698974999999997</v>
      </c>
      <c r="K34" s="231">
        <f>G34*I34</f>
        <v>1513.9107005400001</v>
      </c>
      <c r="L34" s="231">
        <f>G34*J34</f>
        <v>318.07602224999999</v>
      </c>
      <c r="M34" s="252">
        <f>G34*(I34+J34)</f>
        <v>1831.9867227899999</v>
      </c>
      <c r="N34" s="274"/>
      <c r="O34" s="87">
        <v>115.42</v>
      </c>
      <c r="P34" s="87">
        <v>24.25</v>
      </c>
      <c r="Q34" s="439">
        <f t="shared" si="24"/>
        <v>1.8760953991225876E-3</v>
      </c>
      <c r="R34" s="373"/>
    </row>
    <row r="35" spans="1:37" s="61" customFormat="1" ht="34.5" customHeight="1">
      <c r="A35" s="84"/>
      <c r="B35" s="600" t="s">
        <v>504</v>
      </c>
      <c r="C35" s="320">
        <v>102074</v>
      </c>
      <c r="D35" s="885" t="s">
        <v>430</v>
      </c>
      <c r="E35" s="886"/>
      <c r="F35" s="344" t="s">
        <v>4</v>
      </c>
      <c r="G35" s="739">
        <v>7.41</v>
      </c>
      <c r="H35" s="740"/>
      <c r="I35" s="371">
        <f t="shared" si="36"/>
        <v>4078.4102109999999</v>
      </c>
      <c r="J35" s="372">
        <f t="shared" si="36"/>
        <v>1388.5281189999998</v>
      </c>
      <c r="K35" s="231">
        <f>G35*I35</f>
        <v>30221.01966351</v>
      </c>
      <c r="L35" s="231">
        <f>G35*J35</f>
        <v>10288.993361789999</v>
      </c>
      <c r="M35" s="252">
        <f>G35*(I35+J35)</f>
        <v>40510.013025300002</v>
      </c>
      <c r="N35" s="274"/>
      <c r="O35" s="87">
        <v>3330.13</v>
      </c>
      <c r="P35" s="87">
        <v>1133.77</v>
      </c>
      <c r="Q35" s="439">
        <f t="shared" si="24"/>
        <v>4.1485371105428777E-2</v>
      </c>
      <c r="R35" s="374"/>
    </row>
    <row r="36" spans="1:37" s="61" customFormat="1" ht="27.75" customHeight="1" thickBot="1">
      <c r="A36" s="84"/>
      <c r="B36" s="842" t="s">
        <v>120</v>
      </c>
      <c r="C36" s="843"/>
      <c r="D36" s="675"/>
      <c r="E36" s="675"/>
      <c r="F36" s="675"/>
      <c r="G36" s="675"/>
      <c r="H36" s="675"/>
      <c r="I36" s="675"/>
      <c r="J36" s="676"/>
      <c r="K36" s="302">
        <f>SUM(K27:K35)</f>
        <v>136951.72797061998</v>
      </c>
      <c r="L36" s="302">
        <f>SUM(L27:L35)</f>
        <v>34547.695792300001</v>
      </c>
      <c r="M36" s="303">
        <f>SUM(M27:M35)</f>
        <v>171499.42376291999</v>
      </c>
      <c r="N36" s="274"/>
      <c r="O36" s="103"/>
      <c r="P36" s="103"/>
      <c r="Q36" s="438"/>
      <c r="R36" s="373"/>
    </row>
    <row r="37" spans="1:37" s="61" customFormat="1" ht="15.75" customHeight="1">
      <c r="A37" s="40"/>
      <c r="B37" s="295">
        <v>4</v>
      </c>
      <c r="C37" s="295"/>
      <c r="D37" s="725" t="s">
        <v>122</v>
      </c>
      <c r="E37" s="724"/>
      <c r="F37" s="296"/>
      <c r="G37" s="723"/>
      <c r="H37" s="724"/>
      <c r="I37" s="297"/>
      <c r="J37" s="297"/>
      <c r="K37" s="297"/>
      <c r="L37" s="297"/>
      <c r="M37" s="298"/>
      <c r="N37" s="72"/>
      <c r="O37" s="55"/>
      <c r="P37" s="55"/>
      <c r="Q37" s="436"/>
      <c r="R37" s="373"/>
    </row>
    <row r="38" spans="1:37" s="61" customFormat="1" ht="15.75" customHeight="1">
      <c r="A38" s="40"/>
      <c r="B38" s="288" t="s">
        <v>123</v>
      </c>
      <c r="C38" s="143"/>
      <c r="D38" s="638" t="s">
        <v>124</v>
      </c>
      <c r="E38" s="639"/>
      <c r="F38" s="73"/>
      <c r="G38" s="845"/>
      <c r="H38" s="639"/>
      <c r="I38" s="74"/>
      <c r="J38" s="74"/>
      <c r="K38" s="74"/>
      <c r="L38" s="74"/>
      <c r="M38" s="144"/>
      <c r="N38" s="72"/>
      <c r="O38" s="55"/>
      <c r="P38" s="55"/>
      <c r="Q38" s="436"/>
      <c r="R38" s="373"/>
    </row>
    <row r="39" spans="1:37" s="89" customFormat="1" ht="43.5" customHeight="1">
      <c r="A39" s="85"/>
      <c r="B39" s="601" t="s">
        <v>505</v>
      </c>
      <c r="C39" s="250">
        <v>103334</v>
      </c>
      <c r="D39" s="727" t="s">
        <v>451</v>
      </c>
      <c r="E39" s="728"/>
      <c r="F39" s="261" t="s">
        <v>14</v>
      </c>
      <c r="G39" s="642">
        <v>857.52</v>
      </c>
      <c r="H39" s="643"/>
      <c r="I39" s="231">
        <f t="shared" ref="I39:J39" si="37">O39*(1+($Q$5/100))</f>
        <v>88.055930000000004</v>
      </c>
      <c r="J39" s="231">
        <f t="shared" si="37"/>
        <v>82.520285999999984</v>
      </c>
      <c r="K39" s="231">
        <f t="shared" ref="K39:K43" si="38">G39*I39</f>
        <v>75509.721093600005</v>
      </c>
      <c r="L39" s="231">
        <f t="shared" ref="L39:L43" si="39">G39*J39</f>
        <v>70762.795650719985</v>
      </c>
      <c r="M39" s="252">
        <f t="shared" ref="M39:M43" si="40">G39*(I39+J39)</f>
        <v>146272.51674431999</v>
      </c>
      <c r="N39" s="86"/>
      <c r="O39" s="87">
        <v>71.900000000000006</v>
      </c>
      <c r="P39" s="87">
        <v>67.38</v>
      </c>
      <c r="Q39" s="439">
        <f t="shared" ref="Q39:Q44" si="41">M39/$M$169</f>
        <v>0.14979431470124099</v>
      </c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</row>
    <row r="40" spans="1:37" s="61" customFormat="1" ht="14.25" customHeight="1">
      <c r="A40" s="68"/>
      <c r="B40" s="601" t="s">
        <v>387</v>
      </c>
      <c r="C40" s="115">
        <v>93186</v>
      </c>
      <c r="D40" s="862" t="s">
        <v>128</v>
      </c>
      <c r="E40" s="821"/>
      <c r="F40" s="75" t="s">
        <v>41</v>
      </c>
      <c r="G40" s="662">
        <v>62.6</v>
      </c>
      <c r="H40" s="726"/>
      <c r="I40" s="37">
        <f t="shared" ref="I40:J40" si="42">O40*(1+($Q$5/100))</f>
        <v>61.602409999999992</v>
      </c>
      <c r="J40" s="37">
        <f t="shared" si="42"/>
        <v>25.988133999999995</v>
      </c>
      <c r="K40" s="37">
        <f t="shared" si="38"/>
        <v>3856.3108659999998</v>
      </c>
      <c r="L40" s="37">
        <f t="shared" si="39"/>
        <v>1626.8571883999998</v>
      </c>
      <c r="M40" s="116">
        <f t="shared" si="40"/>
        <v>5483.1680544000001</v>
      </c>
      <c r="N40" s="69"/>
      <c r="O40" s="70">
        <v>50.3</v>
      </c>
      <c r="P40" s="70">
        <v>21.22</v>
      </c>
      <c r="Q40" s="440">
        <f t="shared" si="41"/>
        <v>5.6151860881444712E-3</v>
      </c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</row>
    <row r="41" spans="1:37" s="61" customFormat="1" ht="13.5" customHeight="1">
      <c r="A41" s="68"/>
      <c r="B41" s="601" t="s">
        <v>388</v>
      </c>
      <c r="C41" s="145">
        <v>93188</v>
      </c>
      <c r="D41" s="862" t="s">
        <v>129</v>
      </c>
      <c r="E41" s="821"/>
      <c r="F41" s="75" t="s">
        <v>41</v>
      </c>
      <c r="G41" s="662">
        <v>27.3</v>
      </c>
      <c r="H41" s="726"/>
      <c r="I41" s="37">
        <f t="shared" ref="I41:J41" si="43">O41*(1+($Q$5/100))</f>
        <v>57.511911999999995</v>
      </c>
      <c r="J41" s="37">
        <f t="shared" si="43"/>
        <v>24.334789000000001</v>
      </c>
      <c r="K41" s="37">
        <f t="shared" si="38"/>
        <v>1570.0751975999999</v>
      </c>
      <c r="L41" s="37">
        <f t="shared" si="39"/>
        <v>664.3397397</v>
      </c>
      <c r="M41" s="116">
        <f t="shared" si="40"/>
        <v>2234.4149373</v>
      </c>
      <c r="N41" s="69"/>
      <c r="O41" s="70">
        <v>46.96</v>
      </c>
      <c r="P41" s="70">
        <v>19.87</v>
      </c>
      <c r="Q41" s="440">
        <f t="shared" si="41"/>
        <v>2.2882128628176962E-3</v>
      </c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</row>
    <row r="42" spans="1:37" s="61" customFormat="1" ht="16.5" customHeight="1">
      <c r="A42" s="68"/>
      <c r="B42" s="601" t="s">
        <v>389</v>
      </c>
      <c r="C42" s="155">
        <v>93194</v>
      </c>
      <c r="D42" s="862" t="s">
        <v>130</v>
      </c>
      <c r="E42" s="821"/>
      <c r="F42" s="75" t="s">
        <v>41</v>
      </c>
      <c r="G42" s="662">
        <f>G40</f>
        <v>62.6</v>
      </c>
      <c r="H42" s="726"/>
      <c r="I42" s="37">
        <f t="shared" ref="I42:J43" si="44">O42*(1+($Q$5/100))</f>
        <v>36.447071999999999</v>
      </c>
      <c r="J42" s="37">
        <f t="shared" si="44"/>
        <v>11.279487</v>
      </c>
      <c r="K42" s="37">
        <f t="shared" si="38"/>
        <v>2281.5867072000001</v>
      </c>
      <c r="L42" s="37">
        <f t="shared" si="39"/>
        <v>706.0958862</v>
      </c>
      <c r="M42" s="116">
        <f t="shared" si="40"/>
        <v>2987.6825933999999</v>
      </c>
      <c r="N42" s="69"/>
      <c r="O42" s="70">
        <v>29.76</v>
      </c>
      <c r="P42" s="70">
        <v>9.2100000000000009</v>
      </c>
      <c r="Q42" s="440">
        <f t="shared" si="41"/>
        <v>3.0596169163169748E-3</v>
      </c>
      <c r="R42" s="71"/>
      <c r="S42" s="71"/>
      <c r="T42" s="71"/>
      <c r="U42" s="71"/>
      <c r="V42" s="71"/>
      <c r="W42" s="71"/>
      <c r="X42" s="71"/>
      <c r="Y42" s="71"/>
      <c r="Z42" s="259" t="s">
        <v>335</v>
      </c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</row>
    <row r="43" spans="1:37" s="61" customFormat="1" ht="47.25" customHeight="1">
      <c r="A43" s="378"/>
      <c r="B43" s="602" t="s">
        <v>390</v>
      </c>
      <c r="C43" s="631" t="s">
        <v>479</v>
      </c>
      <c r="D43" s="891" t="s">
        <v>526</v>
      </c>
      <c r="E43" s="892"/>
      <c r="F43" s="582" t="s">
        <v>16</v>
      </c>
      <c r="G43" s="893">
        <v>1</v>
      </c>
      <c r="H43" s="894"/>
      <c r="I43" s="37">
        <f t="shared" si="44"/>
        <v>16896.989947999999</v>
      </c>
      <c r="J43" s="37">
        <f t="shared" si="44"/>
        <v>75.808929999999989</v>
      </c>
      <c r="K43" s="37">
        <f t="shared" si="38"/>
        <v>16896.989947999999</v>
      </c>
      <c r="L43" s="37">
        <f t="shared" si="39"/>
        <v>75.808929999999989</v>
      </c>
      <c r="M43" s="116">
        <f t="shared" si="40"/>
        <v>16972.798877999998</v>
      </c>
      <c r="N43" s="341"/>
      <c r="O43" s="632">
        <v>13796.84</v>
      </c>
      <c r="P43" s="632">
        <v>61.9</v>
      </c>
      <c r="Q43" s="440">
        <f t="shared" si="41"/>
        <v>1.7381452326660184E-2</v>
      </c>
      <c r="R43" s="379"/>
      <c r="S43" s="379"/>
      <c r="T43" s="379"/>
      <c r="U43" s="379"/>
      <c r="V43" s="379"/>
      <c r="W43" s="379"/>
      <c r="X43" s="379"/>
      <c r="Y43" s="379"/>
      <c r="Z43" s="380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</row>
    <row r="44" spans="1:37" s="61" customFormat="1" ht="15.75" customHeight="1" thickBot="1">
      <c r="A44" s="40"/>
      <c r="B44" s="731" t="s">
        <v>131</v>
      </c>
      <c r="C44" s="732"/>
      <c r="D44" s="648"/>
      <c r="E44" s="648"/>
      <c r="F44" s="648"/>
      <c r="G44" s="648"/>
      <c r="H44" s="648"/>
      <c r="I44" s="648"/>
      <c r="J44" s="649"/>
      <c r="K44" s="130">
        <f>SUM(K39:K42)</f>
        <v>83217.693864400004</v>
      </c>
      <c r="L44" s="130">
        <f>SUM(L39:L42)</f>
        <v>73760.088465019973</v>
      </c>
      <c r="M44" s="131">
        <f>SUM(M39:M42)</f>
        <v>156977.78232942001</v>
      </c>
      <c r="N44" s="41"/>
      <c r="O44" s="77"/>
      <c r="P44" s="77"/>
      <c r="Q44" s="441">
        <f t="shared" si="41"/>
        <v>0.16075733056852015</v>
      </c>
    </row>
    <row r="45" spans="1:37" s="61" customFormat="1" ht="15.75" customHeight="1">
      <c r="A45" s="40"/>
      <c r="B45" s="289" t="s">
        <v>132</v>
      </c>
      <c r="C45" s="210"/>
      <c r="D45" s="848" t="s">
        <v>89</v>
      </c>
      <c r="E45" s="849"/>
      <c r="F45" s="211"/>
      <c r="G45" s="733"/>
      <c r="H45" s="734"/>
      <c r="I45" s="212"/>
      <c r="J45" s="212"/>
      <c r="K45" s="212"/>
      <c r="L45" s="212"/>
      <c r="M45" s="213"/>
      <c r="N45" s="41"/>
      <c r="O45" s="55"/>
      <c r="P45" s="55"/>
      <c r="Q45" s="437"/>
    </row>
    <row r="46" spans="1:37" s="61" customFormat="1" ht="31.5" customHeight="1">
      <c r="A46" s="36"/>
      <c r="B46" s="241" t="s">
        <v>382</v>
      </c>
      <c r="C46" s="224">
        <v>94570</v>
      </c>
      <c r="D46" s="729" t="s">
        <v>397</v>
      </c>
      <c r="E46" s="730"/>
      <c r="F46" s="225" t="s">
        <v>14</v>
      </c>
      <c r="G46" s="681">
        <v>46.8</v>
      </c>
      <c r="H46" s="713"/>
      <c r="I46" s="226">
        <f t="shared" ref="I46:J46" si="45">O46*(1+($Q$5/100))</f>
        <v>505.50717199999997</v>
      </c>
      <c r="J46" s="226">
        <f t="shared" si="45"/>
        <v>17.929607999999998</v>
      </c>
      <c r="K46" s="226">
        <f t="shared" ref="K46:K55" si="46">G46*I46</f>
        <v>23657.735649599996</v>
      </c>
      <c r="L46" s="226">
        <f t="shared" ref="L46:L55" si="47">G46*J46</f>
        <v>839.10565439999982</v>
      </c>
      <c r="M46" s="227">
        <f t="shared" ref="M46:M55" si="48">G46*(I46+J46)</f>
        <v>24496.841303999998</v>
      </c>
      <c r="N46" s="38"/>
      <c r="O46" s="55">
        <v>412.76</v>
      </c>
      <c r="P46" s="55">
        <v>14.64</v>
      </c>
      <c r="Q46" s="437">
        <f>M46/$M$169</f>
        <v>2.5086650842905022E-2</v>
      </c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s="61" customFormat="1" ht="27.75" customHeight="1">
      <c r="A47" s="36"/>
      <c r="B47" s="241" t="s">
        <v>383</v>
      </c>
      <c r="C47" s="224">
        <v>94569</v>
      </c>
      <c r="D47" s="729" t="s">
        <v>256</v>
      </c>
      <c r="E47" s="730"/>
      <c r="F47" s="225" t="s">
        <v>14</v>
      </c>
      <c r="G47" s="681">
        <v>3</v>
      </c>
      <c r="H47" s="682"/>
      <c r="I47" s="226">
        <f t="shared" ref="I47:J55" si="49">O47*(1+($Q$5/100))</f>
        <v>942.970012</v>
      </c>
      <c r="J47" s="226">
        <f t="shared" si="49"/>
        <v>59.067280999999994</v>
      </c>
      <c r="K47" s="226">
        <f t="shared" si="46"/>
        <v>2828.9100360000002</v>
      </c>
      <c r="L47" s="226">
        <f t="shared" si="47"/>
        <v>177.201843</v>
      </c>
      <c r="M47" s="227">
        <f t="shared" si="48"/>
        <v>3006.111879</v>
      </c>
      <c r="N47" s="38"/>
      <c r="O47" s="70">
        <v>769.96</v>
      </c>
      <c r="P47" s="70">
        <v>48.23</v>
      </c>
      <c r="Q47" s="437">
        <f>M47/$M$169</f>
        <v>3.0784899231423848E-3</v>
      </c>
      <c r="R47" s="3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s="61" customFormat="1" ht="71.25" customHeight="1">
      <c r="A48" s="207"/>
      <c r="B48" s="603" t="s">
        <v>506</v>
      </c>
      <c r="C48" s="584" t="s">
        <v>478</v>
      </c>
      <c r="D48" s="735" t="s">
        <v>439</v>
      </c>
      <c r="E48" s="736"/>
      <c r="F48" s="582" t="s">
        <v>16</v>
      </c>
      <c r="G48" s="739">
        <v>1</v>
      </c>
      <c r="H48" s="740"/>
      <c r="I48" s="432">
        <f t="shared" si="49"/>
        <v>36741</v>
      </c>
      <c r="J48" s="432">
        <f t="shared" si="49"/>
        <v>18370.5</v>
      </c>
      <c r="K48" s="432">
        <f t="shared" si="46"/>
        <v>36741</v>
      </c>
      <c r="L48" s="432">
        <f t="shared" si="47"/>
        <v>18370.5</v>
      </c>
      <c r="M48" s="433">
        <f t="shared" si="48"/>
        <v>55111.5</v>
      </c>
      <c r="N48" s="208"/>
      <c r="O48" s="70">
        <v>30000</v>
      </c>
      <c r="P48" s="70">
        <v>15000</v>
      </c>
      <c r="Q48" s="437">
        <v>0</v>
      </c>
      <c r="R48" s="581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</row>
    <row r="49" spans="1:37" s="61" customFormat="1" ht="27.75" customHeight="1">
      <c r="A49" s="207"/>
      <c r="B49" s="603" t="s">
        <v>384</v>
      </c>
      <c r="C49" s="224">
        <v>94590</v>
      </c>
      <c r="D49" s="677" t="s">
        <v>398</v>
      </c>
      <c r="E49" s="678"/>
      <c r="F49" s="344" t="s">
        <v>41</v>
      </c>
      <c r="G49" s="739">
        <v>156.4</v>
      </c>
      <c r="H49" s="740"/>
      <c r="I49" s="432">
        <f t="shared" si="49"/>
        <v>19.913622</v>
      </c>
      <c r="J49" s="432">
        <f t="shared" si="49"/>
        <v>5.2417160000000003</v>
      </c>
      <c r="K49" s="432">
        <f t="shared" si="46"/>
        <v>3114.4904808000001</v>
      </c>
      <c r="L49" s="432">
        <f t="shared" si="47"/>
        <v>819.80438240000012</v>
      </c>
      <c r="M49" s="433">
        <f t="shared" si="48"/>
        <v>3934.2948632000002</v>
      </c>
      <c r="N49" s="208"/>
      <c r="O49" s="70">
        <v>16.260000000000002</v>
      </c>
      <c r="P49" s="70">
        <v>4.28</v>
      </c>
      <c r="Q49" s="437">
        <v>0</v>
      </c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</row>
    <row r="50" spans="1:37" s="61" customFormat="1" ht="31.5" customHeight="1">
      <c r="A50" s="207"/>
      <c r="B50" s="603" t="s">
        <v>385</v>
      </c>
      <c r="C50" s="224">
        <v>91341</v>
      </c>
      <c r="D50" s="737" t="s">
        <v>435</v>
      </c>
      <c r="E50" s="738"/>
      <c r="F50" s="225" t="s">
        <v>14</v>
      </c>
      <c r="G50" s="739">
        <v>7.56</v>
      </c>
      <c r="H50" s="740"/>
      <c r="I50" s="432">
        <f t="shared" si="49"/>
        <v>1113.717686</v>
      </c>
      <c r="J50" s="432">
        <f t="shared" si="49"/>
        <v>13.214512999999998</v>
      </c>
      <c r="K50" s="432">
        <f t="shared" si="46"/>
        <v>8419.705706159999</v>
      </c>
      <c r="L50" s="432">
        <f t="shared" si="47"/>
        <v>99.901718279999983</v>
      </c>
      <c r="M50" s="433">
        <f t="shared" si="48"/>
        <v>8519.6074244399988</v>
      </c>
      <c r="N50" s="208"/>
      <c r="O50" s="182">
        <v>909.38</v>
      </c>
      <c r="P50" s="183">
        <v>10.79</v>
      </c>
      <c r="Q50" s="437">
        <v>0</v>
      </c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</row>
    <row r="51" spans="1:37" s="61" customFormat="1" ht="31.5" customHeight="1">
      <c r="A51" s="207"/>
      <c r="B51" s="603" t="s">
        <v>386</v>
      </c>
      <c r="C51" s="224">
        <v>102183</v>
      </c>
      <c r="D51" s="737" t="s">
        <v>436</v>
      </c>
      <c r="E51" s="890"/>
      <c r="F51" s="344" t="s">
        <v>16</v>
      </c>
      <c r="G51" s="739">
        <v>2</v>
      </c>
      <c r="H51" s="740"/>
      <c r="I51" s="432">
        <f t="shared" si="49"/>
        <v>1737.4206549999999</v>
      </c>
      <c r="J51" s="432">
        <f t="shared" si="49"/>
        <v>166.65717599999999</v>
      </c>
      <c r="K51" s="432">
        <f t="shared" si="46"/>
        <v>3474.8413099999998</v>
      </c>
      <c r="L51" s="432">
        <f t="shared" si="47"/>
        <v>333.31435199999999</v>
      </c>
      <c r="M51" s="433">
        <f t="shared" si="48"/>
        <v>3808.1556619999997</v>
      </c>
      <c r="N51" s="208"/>
      <c r="O51" s="182">
        <v>1418.65</v>
      </c>
      <c r="P51" s="183">
        <v>136.08000000000001</v>
      </c>
      <c r="Q51" s="437">
        <v>0</v>
      </c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</row>
    <row r="52" spans="1:37" s="61" customFormat="1" ht="31.5" customHeight="1">
      <c r="A52" s="207"/>
      <c r="B52" s="603" t="s">
        <v>507</v>
      </c>
      <c r="C52" s="224">
        <v>102166</v>
      </c>
      <c r="D52" s="737" t="s">
        <v>437</v>
      </c>
      <c r="E52" s="890"/>
      <c r="F52" s="225" t="s">
        <v>14</v>
      </c>
      <c r="G52" s="739">
        <v>8.0399999999999991</v>
      </c>
      <c r="H52" s="740"/>
      <c r="I52" s="432">
        <f t="shared" si="49"/>
        <v>272.34878599999996</v>
      </c>
      <c r="J52" s="432">
        <f t="shared" si="49"/>
        <v>19.448235999999998</v>
      </c>
      <c r="K52" s="432">
        <f t="shared" si="46"/>
        <v>2189.6842394399996</v>
      </c>
      <c r="L52" s="432">
        <f t="shared" si="47"/>
        <v>156.36381743999996</v>
      </c>
      <c r="M52" s="433">
        <f t="shared" si="48"/>
        <v>2346.0480568799994</v>
      </c>
      <c r="N52" s="208"/>
      <c r="O52" s="182">
        <v>222.38</v>
      </c>
      <c r="P52" s="183">
        <v>15.88</v>
      </c>
      <c r="Q52" s="437">
        <v>0</v>
      </c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</row>
    <row r="53" spans="1:37" s="61" customFormat="1" ht="31.5" customHeight="1">
      <c r="A53" s="207"/>
      <c r="B53" s="603" t="s">
        <v>508</v>
      </c>
      <c r="C53" s="224">
        <v>99862</v>
      </c>
      <c r="D53" s="737" t="s">
        <v>438</v>
      </c>
      <c r="E53" s="890"/>
      <c r="F53" s="225" t="s">
        <v>14</v>
      </c>
      <c r="G53" s="739">
        <v>7.56</v>
      </c>
      <c r="H53" s="740"/>
      <c r="I53" s="432">
        <f t="shared" si="49"/>
        <v>407.38420799999994</v>
      </c>
      <c r="J53" s="432">
        <f t="shared" si="49"/>
        <v>368.58571199999994</v>
      </c>
      <c r="K53" s="432">
        <f t="shared" si="46"/>
        <v>3079.8246124799994</v>
      </c>
      <c r="L53" s="432">
        <f t="shared" si="47"/>
        <v>2786.5079827199993</v>
      </c>
      <c r="M53" s="433">
        <f t="shared" si="48"/>
        <v>5866.3325951999987</v>
      </c>
      <c r="N53" s="208"/>
      <c r="O53" s="182">
        <v>332.64</v>
      </c>
      <c r="P53" s="183">
        <v>300.95999999999998</v>
      </c>
      <c r="Q53" s="437">
        <v>0</v>
      </c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</row>
    <row r="54" spans="1:37" s="61" customFormat="1" ht="44.25" customHeight="1">
      <c r="A54" s="207"/>
      <c r="B54" s="603" t="s">
        <v>509</v>
      </c>
      <c r="C54" s="224">
        <v>90844</v>
      </c>
      <c r="D54" s="708" t="s">
        <v>339</v>
      </c>
      <c r="E54" s="678"/>
      <c r="F54" s="344" t="s">
        <v>16</v>
      </c>
      <c r="G54" s="681">
        <v>14</v>
      </c>
      <c r="H54" s="682"/>
      <c r="I54" s="432">
        <f t="shared" si="49"/>
        <v>1372.7539830000001</v>
      </c>
      <c r="J54" s="432">
        <f t="shared" si="49"/>
        <v>270.43825399999997</v>
      </c>
      <c r="K54" s="432">
        <f t="shared" si="46"/>
        <v>19218.555762</v>
      </c>
      <c r="L54" s="432">
        <f t="shared" si="47"/>
        <v>3786.1355559999997</v>
      </c>
      <c r="M54" s="433">
        <f t="shared" si="48"/>
        <v>23004.691318000001</v>
      </c>
      <c r="N54" s="208"/>
      <c r="O54" s="55">
        <v>1120.8900000000001</v>
      </c>
      <c r="P54" s="70">
        <v>220.82</v>
      </c>
      <c r="Q54" s="437">
        <f>M54/$M$169</f>
        <v>2.3558574417071491E-2</v>
      </c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</row>
    <row r="55" spans="1:37" s="89" customFormat="1" ht="48.75" customHeight="1">
      <c r="A55" s="90"/>
      <c r="B55" s="603" t="s">
        <v>510</v>
      </c>
      <c r="C55" s="224">
        <v>90843</v>
      </c>
      <c r="D55" s="677" t="s">
        <v>399</v>
      </c>
      <c r="E55" s="678"/>
      <c r="F55" s="225" t="s">
        <v>16</v>
      </c>
      <c r="G55" s="739">
        <v>2</v>
      </c>
      <c r="H55" s="740"/>
      <c r="I55" s="432">
        <f t="shared" si="49"/>
        <v>1251.6433999999999</v>
      </c>
      <c r="J55" s="432">
        <f t="shared" si="49"/>
        <v>265.649677</v>
      </c>
      <c r="K55" s="432">
        <f t="shared" si="46"/>
        <v>2503.2867999999999</v>
      </c>
      <c r="L55" s="432">
        <f t="shared" si="47"/>
        <v>531.29935399999999</v>
      </c>
      <c r="M55" s="433">
        <f t="shared" si="48"/>
        <v>3034.5861539999996</v>
      </c>
      <c r="N55" s="91"/>
      <c r="O55" s="87">
        <v>1022</v>
      </c>
      <c r="P55" s="87">
        <v>216.91</v>
      </c>
      <c r="Q55" s="439">
        <f>M55/$M$169</f>
        <v>3.1076497722047703E-3</v>
      </c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</row>
    <row r="56" spans="1:37" s="61" customFormat="1" ht="17.25" customHeight="1">
      <c r="A56" s="207"/>
      <c r="B56" s="603" t="s">
        <v>511</v>
      </c>
      <c r="C56" s="585" t="s">
        <v>480</v>
      </c>
      <c r="D56" s="895" t="s">
        <v>270</v>
      </c>
      <c r="E56" s="895"/>
      <c r="F56" s="225" t="s">
        <v>41</v>
      </c>
      <c r="G56" s="896">
        <v>6.95</v>
      </c>
      <c r="H56" s="896"/>
      <c r="I56" s="226">
        <f t="shared" ref="I56" si="50">O56*(1+($Q$5/100))</f>
        <v>288.51482599999997</v>
      </c>
      <c r="J56" s="226">
        <f t="shared" ref="J56" si="51">P56*(1+($Q$5/100))</f>
        <v>85.34934299999999</v>
      </c>
      <c r="K56" s="226">
        <f t="shared" ref="K56" si="52">G56*I56</f>
        <v>2005.1780406999999</v>
      </c>
      <c r="L56" s="226">
        <f t="shared" ref="L56" si="53">G56*J56</f>
        <v>593.17793384999993</v>
      </c>
      <c r="M56" s="227">
        <f t="shared" ref="M56" si="54">G56*(I56+J56)</f>
        <v>2598.3559745499997</v>
      </c>
      <c r="N56" s="208"/>
      <c r="O56" s="55">
        <v>235.58</v>
      </c>
      <c r="P56" s="70">
        <v>69.69</v>
      </c>
      <c r="Q56" s="437">
        <f>M56/$M$169</f>
        <v>2.6609164949143215E-3</v>
      </c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</row>
    <row r="57" spans="1:37" s="61" customFormat="1" ht="15.75" customHeight="1" thickBot="1">
      <c r="A57" s="40"/>
      <c r="B57" s="673" t="s">
        <v>137</v>
      </c>
      <c r="C57" s="674"/>
      <c r="D57" s="675"/>
      <c r="E57" s="675"/>
      <c r="F57" s="675"/>
      <c r="G57" s="675"/>
      <c r="H57" s="675"/>
      <c r="I57" s="675"/>
      <c r="J57" s="676"/>
      <c r="K57" s="148">
        <f>SUM(K46:K56)</f>
        <v>107233.21263718003</v>
      </c>
      <c r="L57" s="148">
        <f>SUM(L46:L56)</f>
        <v>28493.312594090003</v>
      </c>
      <c r="M57" s="149">
        <f>SUM(M46:M56)</f>
        <v>135726.52523127</v>
      </c>
      <c r="N57" s="41"/>
      <c r="O57" s="77"/>
      <c r="P57" s="77"/>
      <c r="Q57" s="441">
        <f>M57/$M$169</f>
        <v>0.13899440774193333</v>
      </c>
    </row>
    <row r="58" spans="1:37" s="61" customFormat="1" ht="15.75" customHeight="1" thickBot="1">
      <c r="A58" s="40"/>
      <c r="B58" s="684" t="s">
        <v>138</v>
      </c>
      <c r="C58" s="685"/>
      <c r="D58" s="648"/>
      <c r="E58" s="648"/>
      <c r="F58" s="648"/>
      <c r="G58" s="648"/>
      <c r="H58" s="648"/>
      <c r="I58" s="648"/>
      <c r="J58" s="649"/>
      <c r="K58" s="117">
        <f>SUM(K44+K57)</f>
        <v>190450.90650158003</v>
      </c>
      <c r="L58" s="117">
        <f>SUM(L44+L57)</f>
        <v>102253.40105910998</v>
      </c>
      <c r="M58" s="118">
        <f>SUM(M44+M57)</f>
        <v>292704.30756068998</v>
      </c>
      <c r="N58" s="41"/>
      <c r="O58" s="64"/>
      <c r="P58" s="64"/>
      <c r="Q58" s="442">
        <f>M58/$M$169</f>
        <v>0.29975173831045343</v>
      </c>
    </row>
    <row r="59" spans="1:37" s="61" customFormat="1" ht="15.75" customHeight="1">
      <c r="A59" s="40"/>
      <c r="B59" s="140">
        <v>5</v>
      </c>
      <c r="C59" s="140"/>
      <c r="D59" s="636" t="s">
        <v>140</v>
      </c>
      <c r="E59" s="637"/>
      <c r="F59" s="112"/>
      <c r="G59" s="683"/>
      <c r="H59" s="637"/>
      <c r="I59" s="113"/>
      <c r="J59" s="113"/>
      <c r="K59" s="113"/>
      <c r="L59" s="113"/>
      <c r="M59" s="114"/>
      <c r="N59" s="41"/>
      <c r="O59" s="55"/>
      <c r="P59" s="55"/>
      <c r="Q59" s="437"/>
    </row>
    <row r="60" spans="1:37" s="61" customFormat="1" ht="15.75" customHeight="1">
      <c r="A60" s="40"/>
      <c r="B60" s="288" t="s">
        <v>143</v>
      </c>
      <c r="C60" s="143"/>
      <c r="D60" s="638" t="s">
        <v>144</v>
      </c>
      <c r="E60" s="639"/>
      <c r="F60" s="73"/>
      <c r="G60" s="205"/>
      <c r="H60" s="78"/>
      <c r="I60" s="74"/>
      <c r="J60" s="74"/>
      <c r="K60" s="74"/>
      <c r="L60" s="74"/>
      <c r="M60" s="144"/>
      <c r="N60" s="41"/>
      <c r="O60" s="55"/>
      <c r="P60" s="55"/>
      <c r="Q60" s="437"/>
    </row>
    <row r="61" spans="1:37" s="61" customFormat="1" ht="45.75" customHeight="1">
      <c r="A61" s="84"/>
      <c r="B61" s="245" t="s">
        <v>308</v>
      </c>
      <c r="C61" s="246">
        <v>92563</v>
      </c>
      <c r="D61" s="715" t="s">
        <v>400</v>
      </c>
      <c r="E61" s="704"/>
      <c r="F61" s="247" t="s">
        <v>16</v>
      </c>
      <c r="G61" s="714">
        <v>14</v>
      </c>
      <c r="H61" s="672"/>
      <c r="I61" s="248">
        <f t="shared" ref="I61" si="55">O61*(1+($Q$5/100))</f>
        <v>1715.9761579999999</v>
      </c>
      <c r="J61" s="248">
        <f t="shared" ref="J61" si="56">P61*(1+($Q$5/100))</f>
        <v>1103.430206</v>
      </c>
      <c r="K61" s="248">
        <f t="shared" ref="K61" si="57">G61*I61</f>
        <v>24023.666212</v>
      </c>
      <c r="L61" s="248">
        <f t="shared" ref="L61" si="58">G61*J61</f>
        <v>15448.022884</v>
      </c>
      <c r="M61" s="249">
        <f t="shared" ref="M61" si="59">G61*(I61+J61)</f>
        <v>39471.689096000002</v>
      </c>
      <c r="N61" s="104"/>
      <c r="O61" s="55">
        <v>1401.14</v>
      </c>
      <c r="P61" s="55">
        <v>900.98</v>
      </c>
      <c r="Q61" s="440">
        <f t="shared" ref="Q61:Q67" si="60">M61/$M$169</f>
        <v>4.0422047489419188E-2</v>
      </c>
      <c r="S61" s="55"/>
      <c r="T61" s="55"/>
    </row>
    <row r="62" spans="1:37" s="61" customFormat="1" ht="41.25" customHeight="1">
      <c r="A62" s="36"/>
      <c r="B62" s="604" t="s">
        <v>512</v>
      </c>
      <c r="C62" s="246">
        <v>92543</v>
      </c>
      <c r="D62" s="703" t="s">
        <v>244</v>
      </c>
      <c r="E62" s="704"/>
      <c r="F62" s="247" t="s">
        <v>14</v>
      </c>
      <c r="G62" s="714">
        <v>246.93</v>
      </c>
      <c r="H62" s="672"/>
      <c r="I62" s="248">
        <f t="shared" ref="I62:J62" si="61">O62*(1+($Q$5/100))</f>
        <v>14.916845999999998</v>
      </c>
      <c r="J62" s="248">
        <f t="shared" si="61"/>
        <v>4.5681309999999993</v>
      </c>
      <c r="K62" s="248">
        <f t="shared" ref="K62:K65" si="62">G62*I62</f>
        <v>3683.4167827799997</v>
      </c>
      <c r="L62" s="248">
        <f t="shared" ref="L62:L65" si="63">G62*J62</f>
        <v>1128.0085878299999</v>
      </c>
      <c r="M62" s="249">
        <f t="shared" ref="M62:M65" si="64">G62*(I62+J62)</f>
        <v>4811.4253706099998</v>
      </c>
      <c r="N62" s="69"/>
      <c r="O62" s="70">
        <v>12.18</v>
      </c>
      <c r="P62" s="70">
        <v>3.73</v>
      </c>
      <c r="Q62" s="440">
        <f t="shared" si="60"/>
        <v>4.9272698806877967E-3</v>
      </c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</row>
    <row r="63" spans="1:37" s="61" customFormat="1" ht="45" customHeight="1">
      <c r="A63" s="36"/>
      <c r="B63" s="604" t="s">
        <v>309</v>
      </c>
      <c r="C63" s="250">
        <v>94207</v>
      </c>
      <c r="D63" s="654" t="s">
        <v>245</v>
      </c>
      <c r="E63" s="645"/>
      <c r="F63" s="251" t="s">
        <v>14</v>
      </c>
      <c r="G63" s="642">
        <v>246.93</v>
      </c>
      <c r="H63" s="643"/>
      <c r="I63" s="231">
        <f t="shared" ref="I63:J63" si="65">O63*(1+($Q$5/100))</f>
        <v>53.029509999999995</v>
      </c>
      <c r="J63" s="231">
        <f t="shared" si="65"/>
        <v>6.0377709999999993</v>
      </c>
      <c r="K63" s="231">
        <f t="shared" si="62"/>
        <v>13094.576904299998</v>
      </c>
      <c r="L63" s="231">
        <f t="shared" si="63"/>
        <v>1490.9067930299998</v>
      </c>
      <c r="M63" s="252">
        <f t="shared" si="64"/>
        <v>14585.483697329999</v>
      </c>
      <c r="N63" s="69"/>
      <c r="O63" s="183">
        <v>43.3</v>
      </c>
      <c r="P63" s="70">
        <v>4.93</v>
      </c>
      <c r="Q63" s="440">
        <f t="shared" si="60"/>
        <v>1.4936657846987583E-2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</row>
    <row r="64" spans="1:37" s="61" customFormat="1" ht="30.75" customHeight="1">
      <c r="A64" s="68"/>
      <c r="B64" s="604" t="s">
        <v>310</v>
      </c>
      <c r="C64" s="253">
        <v>94223</v>
      </c>
      <c r="D64" s="700" t="s">
        <v>146</v>
      </c>
      <c r="E64" s="701"/>
      <c r="F64" s="254" t="s">
        <v>41</v>
      </c>
      <c r="G64" s="690">
        <v>20.75</v>
      </c>
      <c r="H64" s="691"/>
      <c r="I64" s="231">
        <f t="shared" ref="I64:J64" si="66">O64*(1+($Q$5/100))</f>
        <v>97.829035999999988</v>
      </c>
      <c r="J64" s="231">
        <f t="shared" si="66"/>
        <v>2.9637739999999995</v>
      </c>
      <c r="K64" s="231">
        <f t="shared" si="62"/>
        <v>2029.9524969999998</v>
      </c>
      <c r="L64" s="231">
        <f t="shared" si="63"/>
        <v>61.498310499999988</v>
      </c>
      <c r="M64" s="252">
        <f t="shared" si="64"/>
        <v>2091.4508074999999</v>
      </c>
      <c r="N64" s="69"/>
      <c r="O64" s="70">
        <v>79.88</v>
      </c>
      <c r="P64" s="70">
        <v>2.42</v>
      </c>
      <c r="Q64" s="440">
        <f t="shared" si="60"/>
        <v>2.1418065909704466E-3</v>
      </c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</row>
    <row r="65" spans="1:37" s="61" customFormat="1" ht="30.75" customHeight="1">
      <c r="A65" s="36"/>
      <c r="B65" s="604" t="s">
        <v>311</v>
      </c>
      <c r="C65" s="253">
        <v>100327</v>
      </c>
      <c r="D65" s="702" t="s">
        <v>551</v>
      </c>
      <c r="E65" s="701"/>
      <c r="F65" s="254" t="s">
        <v>41</v>
      </c>
      <c r="G65" s="692">
        <v>53.6</v>
      </c>
      <c r="H65" s="693"/>
      <c r="I65" s="231">
        <f t="shared" ref="I65:J65" si="67">O65*(1+($Q$5/100))</f>
        <v>75.992634999999993</v>
      </c>
      <c r="J65" s="231">
        <f t="shared" si="67"/>
        <v>9.0382859999999994</v>
      </c>
      <c r="K65" s="231">
        <f t="shared" si="62"/>
        <v>4073.2052359999998</v>
      </c>
      <c r="L65" s="231">
        <f t="shared" si="63"/>
        <v>484.45212959999998</v>
      </c>
      <c r="M65" s="252">
        <f t="shared" si="64"/>
        <v>4557.6573656</v>
      </c>
      <c r="N65" s="38"/>
      <c r="O65" s="55">
        <v>62.05</v>
      </c>
      <c r="P65" s="55">
        <v>7.38</v>
      </c>
      <c r="Q65" s="440">
        <f t="shared" si="60"/>
        <v>4.6673919128394714E-3</v>
      </c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</row>
    <row r="66" spans="1:37" s="61" customFormat="1" ht="30" customHeight="1">
      <c r="A66" s="93"/>
      <c r="B66" s="604" t="s">
        <v>375</v>
      </c>
      <c r="C66" s="255">
        <v>94228</v>
      </c>
      <c r="D66" s="698" t="s">
        <v>282</v>
      </c>
      <c r="E66" s="699"/>
      <c r="F66" s="256" t="s">
        <v>41</v>
      </c>
      <c r="G66" s="696">
        <v>37.25</v>
      </c>
      <c r="H66" s="697"/>
      <c r="I66" s="257">
        <f t="shared" ref="I66" si="68">O66*(1+($Q$5/100))</f>
        <v>112.06004999999999</v>
      </c>
      <c r="J66" s="257">
        <f t="shared" ref="J66" si="69">P66*(1+($Q$5/100))</f>
        <v>14.806622999999998</v>
      </c>
      <c r="K66" s="257">
        <f t="shared" ref="K66" si="70">G66*I66</f>
        <v>4174.2368624999999</v>
      </c>
      <c r="L66" s="257">
        <f t="shared" ref="L66" si="71">G66*J66</f>
        <v>551.54670674999988</v>
      </c>
      <c r="M66" s="258">
        <f t="shared" ref="M66" si="72">G66*(I66+J66)</f>
        <v>4725.7835692499993</v>
      </c>
      <c r="N66" s="94"/>
      <c r="O66" s="56">
        <v>91.5</v>
      </c>
      <c r="P66" s="56">
        <v>12.09</v>
      </c>
      <c r="Q66" s="440">
        <f t="shared" si="60"/>
        <v>4.839566084854946E-3</v>
      </c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</row>
    <row r="67" spans="1:37" s="61" customFormat="1" ht="15.75" customHeight="1" thickBot="1">
      <c r="A67" s="40"/>
      <c r="B67" s="673" t="s">
        <v>149</v>
      </c>
      <c r="C67" s="674"/>
      <c r="D67" s="675"/>
      <c r="E67" s="675"/>
      <c r="F67" s="675"/>
      <c r="G67" s="675"/>
      <c r="H67" s="675"/>
      <c r="I67" s="675"/>
      <c r="J67" s="676"/>
      <c r="K67" s="148">
        <f>SUM(K62:K66)</f>
        <v>27055.388282579996</v>
      </c>
      <c r="L67" s="148">
        <f>SUM(L62:L66)</f>
        <v>3716.4125277099993</v>
      </c>
      <c r="M67" s="149">
        <f>SUM(M62:M66)</f>
        <v>30771.800810289998</v>
      </c>
      <c r="N67" s="41"/>
      <c r="O67" s="80"/>
      <c r="P67" s="80"/>
      <c r="Q67" s="443">
        <f t="shared" si="60"/>
        <v>3.1512692316340248E-2</v>
      </c>
    </row>
    <row r="68" spans="1:37" s="61" customFormat="1" ht="15.75" customHeight="1">
      <c r="A68" s="40"/>
      <c r="B68" s="290" t="s">
        <v>150</v>
      </c>
      <c r="C68" s="127"/>
      <c r="D68" s="658" t="s">
        <v>151</v>
      </c>
      <c r="E68" s="637"/>
      <c r="F68" s="120"/>
      <c r="G68" s="150"/>
      <c r="H68" s="151"/>
      <c r="I68" s="121"/>
      <c r="J68" s="121"/>
      <c r="K68" s="121"/>
      <c r="L68" s="121"/>
      <c r="M68" s="122"/>
      <c r="N68" s="41"/>
      <c r="O68" s="55"/>
      <c r="P68" s="55"/>
      <c r="Q68" s="437"/>
    </row>
    <row r="69" spans="1:37" s="89" customFormat="1" ht="15.75" customHeight="1">
      <c r="A69" s="279"/>
      <c r="B69" s="242" t="s">
        <v>312</v>
      </c>
      <c r="C69" s="229">
        <v>98557</v>
      </c>
      <c r="D69" s="689" t="s">
        <v>452</v>
      </c>
      <c r="E69" s="643"/>
      <c r="F69" s="230" t="s">
        <v>14</v>
      </c>
      <c r="G69" s="695">
        <v>52.8</v>
      </c>
      <c r="H69" s="656"/>
      <c r="I69" s="232">
        <f t="shared" ref="I69:J69" si="73">O69*(1+($Q$5/100))</f>
        <v>49.012493999999997</v>
      </c>
      <c r="J69" s="232">
        <f t="shared" si="73"/>
        <v>12.969572999999999</v>
      </c>
      <c r="K69" s="232">
        <f t="shared" ref="K69" si="74">G69*I69</f>
        <v>2587.8596831999998</v>
      </c>
      <c r="L69" s="232">
        <f>G69*J69</f>
        <v>684.79345439999986</v>
      </c>
      <c r="M69" s="233">
        <f t="shared" ref="M69" si="75">G69*(I69+J69)</f>
        <v>3272.6531375999994</v>
      </c>
      <c r="N69" s="99"/>
      <c r="O69" s="103">
        <v>40.020000000000003</v>
      </c>
      <c r="P69" s="103">
        <v>10.59</v>
      </c>
      <c r="Q69" s="439">
        <f>M69/$M$169</f>
        <v>3.351448685733332E-3</v>
      </c>
      <c r="R69" s="346"/>
    </row>
    <row r="70" spans="1:37" s="89" customFormat="1" ht="30.75" customHeight="1">
      <c r="A70" s="273"/>
      <c r="B70" s="242" t="s">
        <v>313</v>
      </c>
      <c r="C70" s="229">
        <v>98555</v>
      </c>
      <c r="D70" s="694" t="s">
        <v>340</v>
      </c>
      <c r="E70" s="643"/>
      <c r="F70" s="230" t="s">
        <v>14</v>
      </c>
      <c r="G70" s="695">
        <v>297.72000000000003</v>
      </c>
      <c r="H70" s="656"/>
      <c r="I70" s="232">
        <f t="shared" ref="I70" si="76">O70*(1+($Q$5/100))</f>
        <v>18.101065999999999</v>
      </c>
      <c r="J70" s="232">
        <f t="shared" ref="J70" si="77">P70*(1+($Q$5/100))</f>
        <v>16.398733</v>
      </c>
      <c r="K70" s="232">
        <f t="shared" ref="K70" si="78">G70*I70</f>
        <v>5389.0493695200003</v>
      </c>
      <c r="L70" s="232">
        <f>G70*J70</f>
        <v>4882.23078876</v>
      </c>
      <c r="M70" s="233">
        <f t="shared" ref="M70" si="79">G70*(I70+J70)</f>
        <v>10271.28015828</v>
      </c>
      <c r="N70" s="274"/>
      <c r="O70" s="103">
        <v>14.78</v>
      </c>
      <c r="P70" s="103">
        <v>13.39</v>
      </c>
      <c r="Q70" s="439">
        <f>M70/$M$169</f>
        <v>1.0518581389444455E-2</v>
      </c>
      <c r="R70" s="346"/>
    </row>
    <row r="71" spans="1:37" s="61" customFormat="1" ht="15.75" customHeight="1">
      <c r="A71" s="40"/>
      <c r="B71" s="686" t="s">
        <v>155</v>
      </c>
      <c r="C71" s="687"/>
      <c r="D71" s="688"/>
      <c r="E71" s="688"/>
      <c r="F71" s="688"/>
      <c r="G71" s="688"/>
      <c r="H71" s="688"/>
      <c r="I71" s="688"/>
      <c r="J71" s="639"/>
      <c r="K71" s="76">
        <f>SUM(K69:K70)</f>
        <v>7976.9090527200005</v>
      </c>
      <c r="L71" s="76">
        <f>SUM(L69:L70)</f>
        <v>5567.02424316</v>
      </c>
      <c r="M71" s="129">
        <f>SUM(M69:M70)</f>
        <v>13543.933295880001</v>
      </c>
      <c r="N71" s="41"/>
      <c r="O71" s="80"/>
      <c r="P71" s="80"/>
      <c r="Q71" s="443">
        <f>M71/$M$169</f>
        <v>1.3870030075177788E-2</v>
      </c>
    </row>
    <row r="72" spans="1:37" s="61" customFormat="1" ht="15.75" customHeight="1" thickBot="1">
      <c r="A72" s="40"/>
      <c r="B72" s="684" t="s">
        <v>156</v>
      </c>
      <c r="C72" s="685"/>
      <c r="D72" s="648"/>
      <c r="E72" s="648"/>
      <c r="F72" s="648"/>
      <c r="G72" s="648"/>
      <c r="H72" s="648"/>
      <c r="I72" s="648"/>
      <c r="J72" s="649"/>
      <c r="K72" s="117">
        <f>SUM(K67+K71)</f>
        <v>35032.297335299998</v>
      </c>
      <c r="L72" s="117">
        <f>SUM(L67+L71)</f>
        <v>9283.4367708699992</v>
      </c>
      <c r="M72" s="118">
        <f>SUM(M67+M71)</f>
        <v>44315.734106169999</v>
      </c>
      <c r="N72" s="41"/>
      <c r="O72" s="81"/>
      <c r="P72" s="81"/>
      <c r="Q72" s="444">
        <f>M72/$M$169</f>
        <v>4.5382722391518034E-2</v>
      </c>
    </row>
    <row r="73" spans="1:37" s="61" customFormat="1" ht="15.75" customHeight="1">
      <c r="A73" s="40"/>
      <c r="B73" s="140">
        <v>6</v>
      </c>
      <c r="C73" s="140"/>
      <c r="D73" s="636" t="s">
        <v>158</v>
      </c>
      <c r="E73" s="637"/>
      <c r="F73" s="112"/>
      <c r="G73" s="141"/>
      <c r="H73" s="142"/>
      <c r="I73" s="113"/>
      <c r="J73" s="113"/>
      <c r="K73" s="113"/>
      <c r="L73" s="113"/>
      <c r="M73" s="114"/>
      <c r="N73" s="41"/>
      <c r="O73" s="55"/>
      <c r="P73" s="55"/>
      <c r="Q73" s="437"/>
    </row>
    <row r="74" spans="1:37" s="61" customFormat="1" ht="15.75" customHeight="1">
      <c r="A74" s="40"/>
      <c r="B74" s="288" t="s">
        <v>159</v>
      </c>
      <c r="C74" s="143"/>
      <c r="D74" s="638" t="s">
        <v>160</v>
      </c>
      <c r="E74" s="639"/>
      <c r="F74" s="82"/>
      <c r="G74" s="664"/>
      <c r="H74" s="639"/>
      <c r="I74" s="74"/>
      <c r="J74" s="74"/>
      <c r="K74" s="74"/>
      <c r="L74" s="74"/>
      <c r="M74" s="144"/>
      <c r="N74" s="41"/>
      <c r="O74" s="55"/>
      <c r="P74" s="55"/>
      <c r="Q74" s="437"/>
    </row>
    <row r="75" spans="1:37" s="89" customFormat="1" ht="28.5" customHeight="1">
      <c r="A75" s="85"/>
      <c r="B75" s="263" t="s">
        <v>314</v>
      </c>
      <c r="C75" s="262">
        <v>87879</v>
      </c>
      <c r="D75" s="655" t="s">
        <v>246</v>
      </c>
      <c r="E75" s="656"/>
      <c r="F75" s="261" t="s">
        <v>14</v>
      </c>
      <c r="G75" s="670">
        <v>1188.32</v>
      </c>
      <c r="H75" s="643"/>
      <c r="I75" s="231">
        <f t="shared" ref="I75:J75" si="80">O75*(1+($Q$5/100))</f>
        <v>2.6453519999999999</v>
      </c>
      <c r="J75" s="231">
        <f t="shared" si="80"/>
        <v>2.6453519999999999</v>
      </c>
      <c r="K75" s="231">
        <f>G75*I75</f>
        <v>3143.5246886399996</v>
      </c>
      <c r="L75" s="231">
        <f>G75*J75</f>
        <v>3143.5246886399996</v>
      </c>
      <c r="M75" s="252">
        <f>G75*(I75+J75)</f>
        <v>6287.0493772799991</v>
      </c>
      <c r="N75" s="86"/>
      <c r="O75" s="87">
        <v>2.16</v>
      </c>
      <c r="P75" s="87">
        <v>2.16</v>
      </c>
      <c r="Q75" s="439">
        <f>M75/$M$169</f>
        <v>6.4384224318003447E-3</v>
      </c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</row>
    <row r="76" spans="1:37" s="89" customFormat="1" ht="42.75" customHeight="1">
      <c r="A76" s="85"/>
      <c r="B76" s="263" t="s">
        <v>315</v>
      </c>
      <c r="C76" s="264">
        <v>87529</v>
      </c>
      <c r="D76" s="703" t="s">
        <v>166</v>
      </c>
      <c r="E76" s="716"/>
      <c r="F76" s="265" t="s">
        <v>14</v>
      </c>
      <c r="G76" s="671">
        <v>1188.32</v>
      </c>
      <c r="H76" s="672"/>
      <c r="I76" s="248">
        <f t="shared" ref="I76:J76" si="81">O76*(1+($Q$5/100))</f>
        <v>23.734685999999996</v>
      </c>
      <c r="J76" s="248">
        <f t="shared" si="81"/>
        <v>19.521717999999996</v>
      </c>
      <c r="K76" s="248">
        <f>G76*I76</f>
        <v>28204.402067519994</v>
      </c>
      <c r="L76" s="248">
        <f>G76*J76</f>
        <v>23198.047933759994</v>
      </c>
      <c r="M76" s="249">
        <f>G76*(I76+J76)</f>
        <v>51402.450001279984</v>
      </c>
      <c r="N76" s="86"/>
      <c r="O76" s="87">
        <v>19.38</v>
      </c>
      <c r="P76" s="87">
        <v>15.94</v>
      </c>
      <c r="Q76" s="439">
        <f>M76/$M$169</f>
        <v>5.2640064882219471E-2</v>
      </c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</row>
    <row r="77" spans="1:37" s="89" customFormat="1" ht="34.5" customHeight="1">
      <c r="A77" s="90"/>
      <c r="B77" s="605" t="s">
        <v>513</v>
      </c>
      <c r="C77" s="234">
        <v>87265</v>
      </c>
      <c r="D77" s="717" t="s">
        <v>453</v>
      </c>
      <c r="E77" s="718"/>
      <c r="F77" s="239" t="s">
        <v>14</v>
      </c>
      <c r="G77" s="665">
        <v>232.25</v>
      </c>
      <c r="H77" s="665"/>
      <c r="I77" s="226">
        <f t="shared" ref="I77" si="82">O77*(1+($Q$5/100))</f>
        <v>50.310675999999994</v>
      </c>
      <c r="J77" s="226">
        <f t="shared" ref="J77" si="83">P77*(1+($Q$5/100))</f>
        <v>18.443981999999998</v>
      </c>
      <c r="K77" s="226">
        <f>G77*I77</f>
        <v>11684.654500999999</v>
      </c>
      <c r="L77" s="226">
        <f>G77*J77</f>
        <v>4283.6148194999996</v>
      </c>
      <c r="M77" s="227">
        <f>G77*(I77+J77)</f>
        <v>15968.269320499998</v>
      </c>
      <c r="N77" s="91"/>
      <c r="O77" s="87">
        <v>41.08</v>
      </c>
      <c r="P77" s="87">
        <v>15.06</v>
      </c>
      <c r="Q77" s="439">
        <f>M77/$M$169</f>
        <v>1.6352736748286186E-2</v>
      </c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</row>
    <row r="78" spans="1:37" s="61" customFormat="1" ht="15.75" customHeight="1" thickBot="1">
      <c r="A78" s="40"/>
      <c r="B78" s="673" t="s">
        <v>169</v>
      </c>
      <c r="C78" s="674"/>
      <c r="D78" s="675"/>
      <c r="E78" s="675"/>
      <c r="F78" s="675"/>
      <c r="G78" s="675"/>
      <c r="H78" s="675"/>
      <c r="I78" s="675"/>
      <c r="J78" s="676"/>
      <c r="K78" s="148">
        <f>SUM(K75:K77)</f>
        <v>43032.581257159989</v>
      </c>
      <c r="L78" s="148">
        <f>SUM(L75:L77)</f>
        <v>30625.187441899991</v>
      </c>
      <c r="M78" s="149">
        <f>SUM(M75:M77)</f>
        <v>73657.768699059976</v>
      </c>
      <c r="N78" s="41"/>
      <c r="O78" s="80"/>
      <c r="P78" s="80"/>
      <c r="Q78" s="443">
        <f>M78/$M$169</f>
        <v>7.5431224062305999E-2</v>
      </c>
    </row>
    <row r="79" spans="1:37" s="61" customFormat="1" ht="15.75" customHeight="1">
      <c r="A79" s="40"/>
      <c r="B79" s="291" t="s">
        <v>170</v>
      </c>
      <c r="C79" s="119"/>
      <c r="D79" s="658" t="s">
        <v>171</v>
      </c>
      <c r="E79" s="637"/>
      <c r="F79" s="120"/>
      <c r="G79" s="669"/>
      <c r="H79" s="637"/>
      <c r="I79" s="121"/>
      <c r="J79" s="121"/>
      <c r="K79" s="121"/>
      <c r="L79" s="121"/>
      <c r="M79" s="122"/>
      <c r="N79" s="41"/>
      <c r="O79" s="56"/>
      <c r="P79" s="56"/>
      <c r="Q79" s="436"/>
    </row>
    <row r="80" spans="1:37" s="89" customFormat="1" ht="29.25" customHeight="1">
      <c r="A80" s="85"/>
      <c r="B80" s="263" t="s">
        <v>316</v>
      </c>
      <c r="C80" s="262">
        <v>87904</v>
      </c>
      <c r="D80" s="655" t="s">
        <v>248</v>
      </c>
      <c r="E80" s="656"/>
      <c r="F80" s="261" t="s">
        <v>14</v>
      </c>
      <c r="G80" s="668">
        <v>434.66</v>
      </c>
      <c r="H80" s="656"/>
      <c r="I80" s="231">
        <f t="shared" ref="I80:J80" si="84">O80*(1+($Q$5/100))</f>
        <v>3.6985939999999999</v>
      </c>
      <c r="J80" s="231">
        <f t="shared" si="84"/>
        <v>6.2459699999999989</v>
      </c>
      <c r="K80" s="231">
        <f>G80*I80</f>
        <v>1607.63086804</v>
      </c>
      <c r="L80" s="231">
        <f>G80*J80</f>
        <v>2714.8733201999999</v>
      </c>
      <c r="M80" s="252">
        <f>G80*(I80+J80)</f>
        <v>4322.5041882400001</v>
      </c>
      <c r="N80" s="86"/>
      <c r="O80" s="87">
        <v>3.02</v>
      </c>
      <c r="P80" s="87">
        <v>5.0999999999999996</v>
      </c>
      <c r="Q80" s="439">
        <f>M80/$M$169</f>
        <v>4.426576961155608E-3</v>
      </c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</row>
    <row r="81" spans="1:37" s="89" customFormat="1" ht="28.5" customHeight="1">
      <c r="A81" s="85"/>
      <c r="B81" s="260" t="s">
        <v>317</v>
      </c>
      <c r="C81" s="250">
        <v>87775</v>
      </c>
      <c r="D81" s="655" t="s">
        <v>247</v>
      </c>
      <c r="E81" s="656"/>
      <c r="F81" s="251" t="s">
        <v>14</v>
      </c>
      <c r="G81" s="666">
        <f>G80</f>
        <v>434.66</v>
      </c>
      <c r="H81" s="667"/>
      <c r="I81" s="231">
        <f t="shared" ref="I81:J81" si="85">O81*(1+($Q$5/100))</f>
        <v>28.817190999999998</v>
      </c>
      <c r="J81" s="231">
        <f t="shared" si="85"/>
        <v>33.936436999999998</v>
      </c>
      <c r="K81" s="231">
        <f>G81*I81</f>
        <v>12525.680240059999</v>
      </c>
      <c r="L81" s="231">
        <f>G81*J81</f>
        <v>14750.81170642</v>
      </c>
      <c r="M81" s="252">
        <f>G81*(I81+J81)</f>
        <v>27276.491946479997</v>
      </c>
      <c r="N81" s="86"/>
      <c r="O81" s="87">
        <v>23.53</v>
      </c>
      <c r="P81" s="87">
        <v>27.71</v>
      </c>
      <c r="Q81" s="439">
        <f>M81/$M$169</f>
        <v>2.7933227030740557E-2</v>
      </c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</row>
    <row r="82" spans="1:37" s="61" customFormat="1" ht="15.75" customHeight="1" thickBot="1">
      <c r="A82" s="40"/>
      <c r="B82" s="650" t="s">
        <v>180</v>
      </c>
      <c r="C82" s="651"/>
      <c r="D82" s="648"/>
      <c r="E82" s="648"/>
      <c r="F82" s="648"/>
      <c r="G82" s="648"/>
      <c r="H82" s="648"/>
      <c r="I82" s="648"/>
      <c r="J82" s="649"/>
      <c r="K82" s="130">
        <f>SUM(K80:K81)</f>
        <v>14133.311108099999</v>
      </c>
      <c r="L82" s="130">
        <f>SUM(L80:L81)</f>
        <v>17465.685026619998</v>
      </c>
      <c r="M82" s="131">
        <f>SUM(M80:M81)</f>
        <v>31598.996134719997</v>
      </c>
      <c r="N82" s="41"/>
      <c r="O82" s="80"/>
      <c r="P82" s="80"/>
      <c r="Q82" s="443">
        <f>M82/$M$169</f>
        <v>3.2359803991896162E-2</v>
      </c>
    </row>
    <row r="83" spans="1:37" s="61" customFormat="1" ht="15.75" customHeight="1">
      <c r="A83" s="40"/>
      <c r="B83" s="290" t="s">
        <v>376</v>
      </c>
      <c r="C83" s="127"/>
      <c r="D83" s="658" t="s">
        <v>181</v>
      </c>
      <c r="E83" s="637"/>
      <c r="F83" s="120"/>
      <c r="G83" s="659"/>
      <c r="H83" s="637"/>
      <c r="I83" s="121"/>
      <c r="J83" s="121"/>
      <c r="K83" s="121"/>
      <c r="L83" s="121"/>
      <c r="M83" s="122"/>
      <c r="N83" s="41"/>
      <c r="O83" s="56"/>
      <c r="P83" s="56"/>
      <c r="Q83" s="436"/>
    </row>
    <row r="84" spans="1:37" s="89" customFormat="1" ht="14.25" customHeight="1">
      <c r="A84" s="279"/>
      <c r="B84" s="325" t="s">
        <v>318</v>
      </c>
      <c r="C84" s="282">
        <v>93382</v>
      </c>
      <c r="D84" s="657" t="s">
        <v>258</v>
      </c>
      <c r="E84" s="645"/>
      <c r="F84" s="235" t="s">
        <v>4</v>
      </c>
      <c r="G84" s="722">
        <v>95.14</v>
      </c>
      <c r="H84" s="643"/>
      <c r="I84" s="232">
        <f t="shared" ref="I84:J85" si="86">O84*(1+($Q$5/100))</f>
        <v>11.965318999999999</v>
      </c>
      <c r="J84" s="232">
        <f t="shared" si="86"/>
        <v>29.809197999999999</v>
      </c>
      <c r="K84" s="232">
        <f t="shared" ref="K84:K90" si="87">G84*I84</f>
        <v>1138.3804496599998</v>
      </c>
      <c r="L84" s="232">
        <f t="shared" ref="L84:L90" si="88">G84*J84</f>
        <v>2836.0470977199998</v>
      </c>
      <c r="M84" s="233">
        <f t="shared" ref="M84:M90" si="89">G84*(I84+J84)</f>
        <v>3974.4275473799999</v>
      </c>
      <c r="N84" s="99"/>
      <c r="O84" s="103">
        <v>9.77</v>
      </c>
      <c r="P84" s="103">
        <v>24.34</v>
      </c>
      <c r="Q84" s="438">
        <f t="shared" ref="Q84:Q91" si="90">M84/$M$169</f>
        <v>4.0701196919320755E-3</v>
      </c>
      <c r="R84" s="281"/>
      <c r="S84" s="281"/>
      <c r="T84" s="281"/>
      <c r="U84" s="281"/>
      <c r="V84" s="281"/>
      <c r="W84" s="281"/>
      <c r="X84" s="281"/>
      <c r="Y84" s="281"/>
      <c r="Z84" s="281"/>
      <c r="AA84" s="281"/>
      <c r="AB84" s="281"/>
      <c r="AC84" s="281"/>
      <c r="AD84" s="281"/>
      <c r="AE84" s="281"/>
      <c r="AF84" s="281"/>
      <c r="AG84" s="281"/>
      <c r="AH84" s="281"/>
      <c r="AI84" s="281"/>
      <c r="AJ84" s="281"/>
      <c r="AK84" s="281"/>
    </row>
    <row r="85" spans="1:37" s="89" customFormat="1" ht="14.25" customHeight="1">
      <c r="A85" s="273"/>
      <c r="B85" s="325" t="s">
        <v>319</v>
      </c>
      <c r="C85" s="282">
        <v>96622</v>
      </c>
      <c r="D85" s="657" t="s">
        <v>287</v>
      </c>
      <c r="E85" s="645"/>
      <c r="F85" s="235" t="s">
        <v>14</v>
      </c>
      <c r="G85" s="722">
        <v>190.28</v>
      </c>
      <c r="H85" s="643"/>
      <c r="I85" s="232">
        <f t="shared" si="86"/>
        <v>111.49668799999999</v>
      </c>
      <c r="J85" s="232">
        <f t="shared" si="86"/>
        <v>37.941205999999994</v>
      </c>
      <c r="K85" s="232">
        <f t="shared" ref="K85" si="91">G85*I85</f>
        <v>21215.589792639999</v>
      </c>
      <c r="L85" s="232">
        <f t="shared" ref="L85" si="92">G85*J85</f>
        <v>7219.4526776799985</v>
      </c>
      <c r="M85" s="233">
        <f t="shared" ref="M85" si="93">G85*(I85+J85)</f>
        <v>28435.042470319993</v>
      </c>
      <c r="N85" s="274"/>
      <c r="O85" s="103">
        <v>91.04</v>
      </c>
      <c r="P85" s="103">
        <v>30.98</v>
      </c>
      <c r="Q85" s="438">
        <f t="shared" si="90"/>
        <v>2.9119671932544812E-2</v>
      </c>
      <c r="R85" s="281"/>
      <c r="S85" s="281"/>
      <c r="T85" s="281"/>
      <c r="U85" s="281"/>
      <c r="V85" s="281"/>
      <c r="W85" s="281"/>
      <c r="X85" s="281"/>
      <c r="Y85" s="281"/>
      <c r="Z85" s="281"/>
      <c r="AA85" s="281"/>
      <c r="AB85" s="281"/>
      <c r="AC85" s="281"/>
      <c r="AD85" s="281"/>
      <c r="AE85" s="281"/>
      <c r="AF85" s="281"/>
      <c r="AG85" s="281"/>
      <c r="AH85" s="281"/>
      <c r="AI85" s="281"/>
      <c r="AJ85" s="281"/>
      <c r="AK85" s="281"/>
    </row>
    <row r="86" spans="1:37" s="89" customFormat="1" ht="14.25" customHeight="1">
      <c r="A86" s="326"/>
      <c r="B86" s="325" t="s">
        <v>320</v>
      </c>
      <c r="C86" s="327">
        <v>95241</v>
      </c>
      <c r="D86" s="710" t="s">
        <v>188</v>
      </c>
      <c r="E86" s="711"/>
      <c r="F86" s="328" t="s">
        <v>14</v>
      </c>
      <c r="G86" s="720">
        <v>409.44</v>
      </c>
      <c r="H86" s="672"/>
      <c r="I86" s="237">
        <f t="shared" ref="I86:J86" si="94">O86*(1+($Q$5/100))</f>
        <v>23.710191999999996</v>
      </c>
      <c r="J86" s="237">
        <f t="shared" si="94"/>
        <v>12.540927999999999</v>
      </c>
      <c r="K86" s="237">
        <f t="shared" si="87"/>
        <v>9707.9010124799988</v>
      </c>
      <c r="L86" s="237">
        <f t="shared" si="88"/>
        <v>5134.7575603199994</v>
      </c>
      <c r="M86" s="238">
        <f t="shared" si="89"/>
        <v>14842.658572799997</v>
      </c>
      <c r="O86" s="103">
        <v>19.36</v>
      </c>
      <c r="P86" s="103">
        <v>10.24</v>
      </c>
      <c r="Q86" s="438">
        <f t="shared" si="90"/>
        <v>1.5200024712389531E-2</v>
      </c>
    </row>
    <row r="87" spans="1:37" s="89" customFormat="1" ht="28.5" customHeight="1">
      <c r="A87" s="326"/>
      <c r="B87" s="325" t="s">
        <v>321</v>
      </c>
      <c r="C87" s="255">
        <v>87767</v>
      </c>
      <c r="D87" s="721" t="s">
        <v>343</v>
      </c>
      <c r="E87" s="699"/>
      <c r="F87" s="329" t="s">
        <v>14</v>
      </c>
      <c r="G87" s="719">
        <v>409.44</v>
      </c>
      <c r="H87" s="719"/>
      <c r="I87" s="257">
        <f t="shared" ref="I87" si="95">O87*(1+($Q$5/100))</f>
        <v>42.435854999999997</v>
      </c>
      <c r="J87" s="257">
        <f t="shared" ref="J87" si="96">P87*(1+($Q$5/100))</f>
        <v>32.723983999999994</v>
      </c>
      <c r="K87" s="257">
        <f t="shared" ref="K87" si="97">G87*I87</f>
        <v>17374.936471199999</v>
      </c>
      <c r="L87" s="257">
        <f t="shared" ref="L87" si="98">G87*J87</f>
        <v>13398.508008959998</v>
      </c>
      <c r="M87" s="258">
        <f t="shared" ref="M87" si="99">G87*(I87+J87)</f>
        <v>30773.444480159997</v>
      </c>
      <c r="O87" s="103">
        <v>34.65</v>
      </c>
      <c r="P87" s="103">
        <v>26.72</v>
      </c>
      <c r="Q87" s="438">
        <f t="shared" si="90"/>
        <v>3.1514375560788697E-2</v>
      </c>
    </row>
    <row r="88" spans="1:37" s="89" customFormat="1" ht="31.5" customHeight="1">
      <c r="A88" s="85"/>
      <c r="B88" s="325" t="s">
        <v>322</v>
      </c>
      <c r="C88" s="234">
        <v>87248</v>
      </c>
      <c r="D88" s="708" t="s">
        <v>193</v>
      </c>
      <c r="E88" s="709"/>
      <c r="F88" s="239" t="s">
        <v>14</v>
      </c>
      <c r="G88" s="712">
        <v>409.44</v>
      </c>
      <c r="H88" s="713"/>
      <c r="I88" s="257">
        <f t="shared" ref="I88:J90" si="100">O88*(1+($Q$5/100))</f>
        <v>50.212699999999998</v>
      </c>
      <c r="J88" s="257">
        <f t="shared" si="100"/>
        <v>8.450429999999999</v>
      </c>
      <c r="K88" s="257">
        <f t="shared" si="87"/>
        <v>20559.087887999998</v>
      </c>
      <c r="L88" s="257">
        <f t="shared" si="88"/>
        <v>3459.9440591999996</v>
      </c>
      <c r="M88" s="258">
        <f t="shared" si="89"/>
        <v>24019.031947199997</v>
      </c>
      <c r="N88" s="86"/>
      <c r="O88" s="406">
        <v>41</v>
      </c>
      <c r="P88" s="406">
        <v>6.9</v>
      </c>
      <c r="Q88" s="438">
        <f t="shared" si="90"/>
        <v>2.4597337287954681E-2</v>
      </c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</row>
    <row r="89" spans="1:37" s="89" customFormat="1" ht="31.5" customHeight="1">
      <c r="A89" s="90"/>
      <c r="B89" s="606" t="s">
        <v>514</v>
      </c>
      <c r="C89" s="596">
        <v>94990</v>
      </c>
      <c r="D89" s="677" t="s">
        <v>502</v>
      </c>
      <c r="E89" s="678"/>
      <c r="F89" s="597" t="s">
        <v>4</v>
      </c>
      <c r="G89" s="679">
        <v>4.5</v>
      </c>
      <c r="H89" s="680"/>
      <c r="I89" s="257">
        <f t="shared" si="100"/>
        <v>664.828395</v>
      </c>
      <c r="J89" s="257">
        <f t="shared" si="100"/>
        <v>247.84253899999999</v>
      </c>
      <c r="K89" s="257">
        <f t="shared" si="87"/>
        <v>2991.7277775000002</v>
      </c>
      <c r="L89" s="257">
        <f t="shared" si="88"/>
        <v>1115.2914255000001</v>
      </c>
      <c r="M89" s="258">
        <f t="shared" si="89"/>
        <v>4107.0192029999998</v>
      </c>
      <c r="N89" s="91"/>
      <c r="O89" s="406">
        <v>542.85</v>
      </c>
      <c r="P89" s="406">
        <v>202.37</v>
      </c>
      <c r="Q89" s="438">
        <f t="shared" si="90"/>
        <v>4.2059037519234553E-3</v>
      </c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</row>
    <row r="90" spans="1:37" s="89" customFormat="1" ht="19.5" customHeight="1">
      <c r="A90" s="90"/>
      <c r="B90" s="607" t="s">
        <v>515</v>
      </c>
      <c r="C90" s="377">
        <v>98671</v>
      </c>
      <c r="D90" s="888" t="s">
        <v>432</v>
      </c>
      <c r="E90" s="889"/>
      <c r="F90" s="225" t="s">
        <v>14</v>
      </c>
      <c r="G90" s="739">
        <v>11.82</v>
      </c>
      <c r="H90" s="740"/>
      <c r="I90" s="257">
        <f t="shared" si="100"/>
        <v>421.29679999999996</v>
      </c>
      <c r="J90" s="257">
        <f t="shared" si="100"/>
        <v>40.831498000000003</v>
      </c>
      <c r="K90" s="257">
        <f t="shared" si="87"/>
        <v>4979.7281759999996</v>
      </c>
      <c r="L90" s="257">
        <f t="shared" si="88"/>
        <v>482.62830636000007</v>
      </c>
      <c r="M90" s="376">
        <f t="shared" si="89"/>
        <v>5462.35648236</v>
      </c>
      <c r="N90" s="91"/>
      <c r="O90" s="406">
        <v>344</v>
      </c>
      <c r="P90" s="87">
        <v>33.340000000000003</v>
      </c>
      <c r="Q90" s="438">
        <f t="shared" si="90"/>
        <v>5.5938734366568609E-3</v>
      </c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</row>
    <row r="91" spans="1:37" s="61" customFormat="1" ht="15.75" customHeight="1" thickBot="1">
      <c r="A91" s="40"/>
      <c r="B91" s="706" t="s">
        <v>194</v>
      </c>
      <c r="C91" s="707"/>
      <c r="D91" s="675"/>
      <c r="E91" s="675"/>
      <c r="F91" s="675"/>
      <c r="G91" s="675"/>
      <c r="H91" s="675"/>
      <c r="I91" s="675"/>
      <c r="J91" s="676"/>
      <c r="K91" s="148">
        <f>SUM(K84:K90)</f>
        <v>77967.351567479986</v>
      </c>
      <c r="L91" s="148">
        <f>SUM(L84:L90)</f>
        <v>33646.629135739997</v>
      </c>
      <c r="M91" s="149">
        <f>SUM(M84:M90)</f>
        <v>111613.98070321999</v>
      </c>
      <c r="N91" s="41"/>
      <c r="O91" s="80"/>
      <c r="P91" s="80"/>
      <c r="Q91" s="443">
        <f t="shared" si="90"/>
        <v>0.11430130637419011</v>
      </c>
    </row>
    <row r="92" spans="1:37" s="61" customFormat="1" ht="15.75" customHeight="1">
      <c r="A92" s="40"/>
      <c r="B92" s="290" t="s">
        <v>377</v>
      </c>
      <c r="C92" s="127"/>
      <c r="D92" s="658" t="s">
        <v>195</v>
      </c>
      <c r="E92" s="637"/>
      <c r="F92" s="147"/>
      <c r="G92" s="705"/>
      <c r="H92" s="637"/>
      <c r="I92" s="121"/>
      <c r="J92" s="121"/>
      <c r="K92" s="121"/>
      <c r="L92" s="121"/>
      <c r="M92" s="122"/>
      <c r="N92" s="41"/>
      <c r="O92" s="56"/>
      <c r="P92" s="56"/>
      <c r="Q92" s="436"/>
    </row>
    <row r="93" spans="1:37" s="61" customFormat="1" ht="30.75" customHeight="1">
      <c r="A93" s="36"/>
      <c r="B93" s="260" t="s">
        <v>378</v>
      </c>
      <c r="C93" s="250">
        <v>87882</v>
      </c>
      <c r="D93" s="655" t="s">
        <v>196</v>
      </c>
      <c r="E93" s="645"/>
      <c r="F93" s="251" t="s">
        <v>14</v>
      </c>
      <c r="G93" s="642">
        <v>409.44</v>
      </c>
      <c r="H93" s="643"/>
      <c r="I93" s="231">
        <f t="shared" ref="I93:J93" si="101">O93*(1+($Q$5/100))</f>
        <v>7.9360559999999998</v>
      </c>
      <c r="J93" s="231">
        <f t="shared" si="101"/>
        <v>1.4206519999999998</v>
      </c>
      <c r="K93" s="231">
        <f>G93*I93</f>
        <v>3249.3387686399997</v>
      </c>
      <c r="L93" s="231">
        <f>G93*J93</f>
        <v>581.67175487999987</v>
      </c>
      <c r="M93" s="252">
        <f>G93*(I93+J93)</f>
        <v>3831.0105235199999</v>
      </c>
      <c r="N93" s="38"/>
      <c r="O93" s="182">
        <v>6.48</v>
      </c>
      <c r="P93" s="70">
        <v>1.1599999999999999</v>
      </c>
      <c r="Q93" s="437">
        <f>M93/$M$169</f>
        <v>3.9232496217113519E-3</v>
      </c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</row>
    <row r="94" spans="1:37" s="61" customFormat="1" ht="30.75" customHeight="1">
      <c r="A94" s="36"/>
      <c r="B94" s="260" t="s">
        <v>379</v>
      </c>
      <c r="C94" s="262">
        <v>90409</v>
      </c>
      <c r="D94" s="655" t="s">
        <v>249</v>
      </c>
      <c r="E94" s="645"/>
      <c r="F94" s="251" t="s">
        <v>14</v>
      </c>
      <c r="G94" s="642">
        <v>409.44</v>
      </c>
      <c r="H94" s="643"/>
      <c r="I94" s="231">
        <f t="shared" ref="I94:J94" si="102">O94*(1+($Q$5/100))</f>
        <v>17.782643999999998</v>
      </c>
      <c r="J94" s="231">
        <f t="shared" si="102"/>
        <v>25.828922999999996</v>
      </c>
      <c r="K94" s="231">
        <f t="shared" ref="K94" si="103">G94*I94</f>
        <v>7280.9257593599987</v>
      </c>
      <c r="L94" s="231">
        <f t="shared" ref="L94" si="104">G94*J94</f>
        <v>10575.394233119998</v>
      </c>
      <c r="M94" s="252">
        <f t="shared" ref="M94" si="105">G94*(I94+J94)</f>
        <v>17856.319992479996</v>
      </c>
      <c r="N94" s="38"/>
      <c r="O94" s="70">
        <v>14.52</v>
      </c>
      <c r="P94" s="70">
        <v>21.09</v>
      </c>
      <c r="Q94" s="437">
        <f>M94/$M$169</f>
        <v>1.8286245946222673E-2</v>
      </c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</row>
    <row r="95" spans="1:37" s="61" customFormat="1" ht="15.75" customHeight="1" thickBot="1">
      <c r="A95" s="40"/>
      <c r="B95" s="646" t="s">
        <v>198</v>
      </c>
      <c r="C95" s="647"/>
      <c r="D95" s="648"/>
      <c r="E95" s="648"/>
      <c r="F95" s="648"/>
      <c r="G95" s="648"/>
      <c r="H95" s="648"/>
      <c r="I95" s="648"/>
      <c r="J95" s="649"/>
      <c r="K95" s="130">
        <f>SUM(K93:K94)</f>
        <v>10530.264527999998</v>
      </c>
      <c r="L95" s="130">
        <f>SUM(L93:L94)</f>
        <v>11157.065987999998</v>
      </c>
      <c r="M95" s="131">
        <f>SUM(M93:M94)</f>
        <v>21687.330515999995</v>
      </c>
      <c r="N95" s="41"/>
      <c r="O95" s="80"/>
      <c r="P95" s="80"/>
      <c r="Q95" s="443">
        <f>M95/$M$169</f>
        <v>2.2209495567934025E-2</v>
      </c>
    </row>
    <row r="96" spans="1:37" s="61" customFormat="1" ht="15.75" customHeight="1">
      <c r="A96" s="40"/>
      <c r="B96" s="291" t="s">
        <v>380</v>
      </c>
      <c r="C96" s="119"/>
      <c r="D96" s="658" t="s">
        <v>199</v>
      </c>
      <c r="E96" s="637"/>
      <c r="F96" s="120"/>
      <c r="G96" s="669"/>
      <c r="H96" s="637"/>
      <c r="I96" s="121"/>
      <c r="J96" s="121"/>
      <c r="K96" s="121"/>
      <c r="L96" s="121"/>
      <c r="M96" s="122"/>
      <c r="N96" s="41"/>
      <c r="O96" s="64"/>
      <c r="P96" s="64"/>
      <c r="Q96" s="435"/>
    </row>
    <row r="97" spans="1:37" s="61" customFormat="1" ht="15.75" customHeight="1">
      <c r="A97" s="36"/>
      <c r="B97" s="263" t="s">
        <v>323</v>
      </c>
      <c r="C97" s="262">
        <v>88485</v>
      </c>
      <c r="D97" s="655" t="s">
        <v>200</v>
      </c>
      <c r="E97" s="645"/>
      <c r="F97" s="251" t="s">
        <v>14</v>
      </c>
      <c r="G97" s="642">
        <f>G76+G81</f>
        <v>1622.98</v>
      </c>
      <c r="H97" s="643"/>
      <c r="I97" s="231">
        <f t="shared" ref="I97:J97" si="106">O97*(1+($Q$5/100))</f>
        <v>2.0330019999999998</v>
      </c>
      <c r="J97" s="231">
        <f t="shared" si="106"/>
        <v>1.236947</v>
      </c>
      <c r="K97" s="231">
        <f t="shared" ref="K97:K104" si="107">G97*I97</f>
        <v>3299.5215859599998</v>
      </c>
      <c r="L97" s="231">
        <f t="shared" ref="L97:L104" si="108">G97*J97</f>
        <v>2007.5402420600001</v>
      </c>
      <c r="M97" s="252">
        <f t="shared" ref="M97:M104" si="109">G97*(I97+J97)</f>
        <v>5307.0618280199997</v>
      </c>
      <c r="N97" s="38"/>
      <c r="O97" s="55">
        <v>1.66</v>
      </c>
      <c r="P97" s="55">
        <v>1.01</v>
      </c>
      <c r="Q97" s="437">
        <f t="shared" ref="Q97:Q107" si="110">M97/$M$169</f>
        <v>5.434839758687895E-3</v>
      </c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</row>
    <row r="98" spans="1:37" s="61" customFormat="1" ht="15.75" customHeight="1">
      <c r="A98" s="36"/>
      <c r="B98" s="263" t="s">
        <v>324</v>
      </c>
      <c r="C98" s="262">
        <v>88484</v>
      </c>
      <c r="D98" s="655" t="s">
        <v>202</v>
      </c>
      <c r="E98" s="645"/>
      <c r="F98" s="251" t="s">
        <v>14</v>
      </c>
      <c r="G98" s="642">
        <f>G94</f>
        <v>409.44</v>
      </c>
      <c r="H98" s="643"/>
      <c r="I98" s="231">
        <f t="shared" ref="I98:J98" si="111">O98*(1+($Q$5/100))</f>
        <v>2.167719</v>
      </c>
      <c r="J98" s="231">
        <f t="shared" si="111"/>
        <v>1.628851</v>
      </c>
      <c r="K98" s="231">
        <f t="shared" si="107"/>
        <v>887.55086735999998</v>
      </c>
      <c r="L98" s="231">
        <f t="shared" si="108"/>
        <v>666.91675343999998</v>
      </c>
      <c r="M98" s="252">
        <f t="shared" si="109"/>
        <v>1554.4676208000001</v>
      </c>
      <c r="N98" s="38"/>
      <c r="O98" s="55">
        <v>1.77</v>
      </c>
      <c r="P98" s="55">
        <v>1.33</v>
      </c>
      <c r="Q98" s="437">
        <f t="shared" si="110"/>
        <v>1.5918944800137687E-3</v>
      </c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</row>
    <row r="99" spans="1:37" s="61" customFormat="1" ht="15.75" customHeight="1">
      <c r="A99" s="207"/>
      <c r="B99" s="263" t="s">
        <v>325</v>
      </c>
      <c r="C99" s="262">
        <v>88494</v>
      </c>
      <c r="D99" s="655" t="s">
        <v>336</v>
      </c>
      <c r="E99" s="660"/>
      <c r="F99" s="251" t="s">
        <v>14</v>
      </c>
      <c r="G99" s="642">
        <v>409.44</v>
      </c>
      <c r="H99" s="661"/>
      <c r="I99" s="231">
        <f t="shared" ref="I99:I100" si="112">O99*(1+($Q$5/100))</f>
        <v>11.512179999999999</v>
      </c>
      <c r="J99" s="231">
        <f t="shared" ref="J99:J100" si="113">P99*(1+($Q$5/100))</f>
        <v>16.080310999999998</v>
      </c>
      <c r="K99" s="231">
        <f t="shared" ref="K99:K100" si="114">G99*I99</f>
        <v>4713.5469791999994</v>
      </c>
      <c r="L99" s="231">
        <f t="shared" ref="L99:L100" si="115">G99*J99</f>
        <v>6583.922535839999</v>
      </c>
      <c r="M99" s="252">
        <f t="shared" ref="M99:M100" si="116">G99*(I99+J99)</f>
        <v>11297.469515039998</v>
      </c>
      <c r="N99" s="208"/>
      <c r="O99" s="55">
        <v>9.4</v>
      </c>
      <c r="P99" s="55">
        <v>13.13</v>
      </c>
      <c r="Q99" s="437">
        <f t="shared" si="110"/>
        <v>1.1569478269261356E-2</v>
      </c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</row>
    <row r="100" spans="1:37" s="61" customFormat="1" ht="15.75" customHeight="1">
      <c r="A100" s="207"/>
      <c r="B100" s="263" t="s">
        <v>326</v>
      </c>
      <c r="C100" s="262">
        <v>88495</v>
      </c>
      <c r="D100" s="655" t="s">
        <v>337</v>
      </c>
      <c r="E100" s="660"/>
      <c r="F100" s="251" t="s">
        <v>14</v>
      </c>
      <c r="G100" s="642">
        <f>G97</f>
        <v>1622.98</v>
      </c>
      <c r="H100" s="661"/>
      <c r="I100" s="231">
        <f t="shared" si="112"/>
        <v>8.6096409999999999</v>
      </c>
      <c r="J100" s="231">
        <f t="shared" si="113"/>
        <v>7.4706699999999993</v>
      </c>
      <c r="K100" s="231">
        <f t="shared" si="114"/>
        <v>13973.275150179999</v>
      </c>
      <c r="L100" s="231">
        <f t="shared" si="115"/>
        <v>12124.747996599999</v>
      </c>
      <c r="M100" s="252">
        <f t="shared" si="116"/>
        <v>26098.023146779997</v>
      </c>
      <c r="N100" s="208"/>
      <c r="O100" s="55">
        <v>7.03</v>
      </c>
      <c r="P100" s="182">
        <v>6.1</v>
      </c>
      <c r="Q100" s="437">
        <f t="shared" si="110"/>
        <v>2.6726384281487658E-2</v>
      </c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09"/>
    </row>
    <row r="101" spans="1:37" s="61" customFormat="1" ht="15.75" customHeight="1">
      <c r="A101" s="36"/>
      <c r="B101" s="263" t="s">
        <v>327</v>
      </c>
      <c r="C101" s="262">
        <v>88489</v>
      </c>
      <c r="D101" s="644" t="s">
        <v>250</v>
      </c>
      <c r="E101" s="645"/>
      <c r="F101" s="251" t="s">
        <v>14</v>
      </c>
      <c r="G101" s="642">
        <f>G76</f>
        <v>1188.32</v>
      </c>
      <c r="H101" s="643"/>
      <c r="I101" s="231">
        <f t="shared" ref="I101:J101" si="117">O101*(1+($Q$5/100))</f>
        <v>14.451459999999999</v>
      </c>
      <c r="J101" s="231">
        <f t="shared" si="117"/>
        <v>5.9520419999999996</v>
      </c>
      <c r="K101" s="231">
        <f t="shared" si="107"/>
        <v>17172.958947199997</v>
      </c>
      <c r="L101" s="231">
        <f t="shared" si="108"/>
        <v>7072.9305494399996</v>
      </c>
      <c r="M101" s="252">
        <f t="shared" si="109"/>
        <v>24245.889496639997</v>
      </c>
      <c r="N101" s="38"/>
      <c r="O101" s="55">
        <v>11.8</v>
      </c>
      <c r="P101" s="55">
        <v>4.8600000000000003</v>
      </c>
      <c r="Q101" s="437">
        <f t="shared" si="110"/>
        <v>2.4829656878192996E-2</v>
      </c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</row>
    <row r="102" spans="1:37" s="61" customFormat="1" ht="15.75" customHeight="1">
      <c r="A102" s="36"/>
      <c r="B102" s="263" t="s">
        <v>328</v>
      </c>
      <c r="C102" s="262">
        <v>95626</v>
      </c>
      <c r="D102" s="654" t="s">
        <v>403</v>
      </c>
      <c r="E102" s="645"/>
      <c r="F102" s="251" t="s">
        <v>14</v>
      </c>
      <c r="G102" s="642">
        <f>G81</f>
        <v>434.66</v>
      </c>
      <c r="H102" s="643"/>
      <c r="I102" s="231">
        <f t="shared" ref="I102:J102" si="118">O102*(1+($Q$5/100))</f>
        <v>10.961064999999998</v>
      </c>
      <c r="J102" s="231">
        <f t="shared" si="118"/>
        <v>10.189503999999999</v>
      </c>
      <c r="K102" s="231">
        <f t="shared" si="107"/>
        <v>4764.3365128999994</v>
      </c>
      <c r="L102" s="231">
        <f t="shared" si="108"/>
        <v>4428.9698086400003</v>
      </c>
      <c r="M102" s="252">
        <f t="shared" si="109"/>
        <v>9193.3063215399998</v>
      </c>
      <c r="N102" s="38"/>
      <c r="O102" s="182">
        <v>8.9499999999999993</v>
      </c>
      <c r="P102" s="55">
        <v>8.32</v>
      </c>
      <c r="Q102" s="437">
        <f t="shared" si="110"/>
        <v>9.4146532166449939E-3</v>
      </c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</row>
    <row r="103" spans="1:37" s="61" customFormat="1" ht="33" customHeight="1">
      <c r="A103" s="207"/>
      <c r="B103" s="269" t="s">
        <v>338</v>
      </c>
      <c r="C103" s="145">
        <v>100719</v>
      </c>
      <c r="D103" s="751" t="s">
        <v>454</v>
      </c>
      <c r="E103" s="755"/>
      <c r="F103" s="347" t="s">
        <v>14</v>
      </c>
      <c r="G103" s="662">
        <v>75.2</v>
      </c>
      <c r="H103" s="663"/>
      <c r="I103" s="37">
        <f t="shared" ref="I103:J104" si="119">O103*(1+($P$5/100))</f>
        <v>9.7899999999999991</v>
      </c>
      <c r="J103" s="37">
        <f t="shared" si="119"/>
        <v>1.27</v>
      </c>
      <c r="K103" s="37">
        <f t="shared" si="107"/>
        <v>736.20799999999997</v>
      </c>
      <c r="L103" s="37">
        <f t="shared" si="108"/>
        <v>95.504000000000005</v>
      </c>
      <c r="M103" s="116">
        <f t="shared" si="109"/>
        <v>831.71199999999999</v>
      </c>
      <c r="N103" s="341"/>
      <c r="O103" s="70">
        <v>9.7899999999999991</v>
      </c>
      <c r="P103" s="70">
        <v>1.27</v>
      </c>
      <c r="Q103" s="437">
        <f t="shared" si="110"/>
        <v>8.5173709895598976E-4</v>
      </c>
      <c r="R103" s="34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</row>
    <row r="104" spans="1:37" s="61" customFormat="1" ht="33.75" customHeight="1">
      <c r="A104" s="207"/>
      <c r="B104" s="263" t="s">
        <v>391</v>
      </c>
      <c r="C104" s="340">
        <v>100743</v>
      </c>
      <c r="D104" s="751" t="s">
        <v>456</v>
      </c>
      <c r="E104" s="752"/>
      <c r="F104" s="347" t="s">
        <v>14</v>
      </c>
      <c r="G104" s="662">
        <v>2.4</v>
      </c>
      <c r="H104" s="726"/>
      <c r="I104" s="37">
        <f t="shared" si="119"/>
        <v>9.3699999999999992</v>
      </c>
      <c r="J104" s="37">
        <f t="shared" si="119"/>
        <v>1.27</v>
      </c>
      <c r="K104" s="37">
        <f t="shared" si="107"/>
        <v>22.487999999999996</v>
      </c>
      <c r="L104" s="37">
        <f t="shared" si="108"/>
        <v>3.048</v>
      </c>
      <c r="M104" s="116">
        <f t="shared" si="109"/>
        <v>25.535999999999998</v>
      </c>
      <c r="N104" s="341"/>
      <c r="O104" s="70">
        <v>9.3699999999999992</v>
      </c>
      <c r="P104" s="70">
        <v>1.27</v>
      </c>
      <c r="Q104" s="437">
        <f t="shared" si="110"/>
        <v>2.6150829324261464E-5</v>
      </c>
      <c r="R104" s="34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</row>
    <row r="105" spans="1:37" s="89" customFormat="1" ht="31.5" customHeight="1">
      <c r="A105" s="270"/>
      <c r="B105" s="269" t="s">
        <v>392</v>
      </c>
      <c r="C105" s="271">
        <v>102210</v>
      </c>
      <c r="D105" s="640" t="s">
        <v>455</v>
      </c>
      <c r="E105" s="641"/>
      <c r="F105" s="348" t="s">
        <v>14</v>
      </c>
      <c r="G105" s="652">
        <v>103.32</v>
      </c>
      <c r="H105" s="653"/>
      <c r="I105" s="232">
        <f t="shared" ref="I105" si="120">O105*(1+($Q$5/100))</f>
        <v>4.7395889999999996</v>
      </c>
      <c r="J105" s="232">
        <f>P105*(1+($Q$5/100))</f>
        <v>4.7028479999999995</v>
      </c>
      <c r="K105" s="232">
        <f t="shared" ref="K105" si="121">G105*I105</f>
        <v>489.69433547999995</v>
      </c>
      <c r="L105" s="232">
        <f t="shared" ref="L105" si="122">G105*J105</f>
        <v>485.89825535999989</v>
      </c>
      <c r="M105" s="233">
        <f t="shared" ref="M105" si="123">G105*(I105+J105)</f>
        <v>975.59259083999973</v>
      </c>
      <c r="N105" s="162"/>
      <c r="O105" s="103">
        <v>3.87</v>
      </c>
      <c r="P105" s="103">
        <v>3.84</v>
      </c>
      <c r="Q105" s="437">
        <f t="shared" si="110"/>
        <v>9.9908189744168561E-4</v>
      </c>
      <c r="R105" s="350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</row>
    <row r="106" spans="1:37" s="61" customFormat="1" ht="15.75" customHeight="1">
      <c r="A106" s="267"/>
      <c r="B106" s="756" t="s">
        <v>208</v>
      </c>
      <c r="C106" s="757"/>
      <c r="D106" s="688"/>
      <c r="E106" s="688"/>
      <c r="F106" s="688"/>
      <c r="G106" s="688"/>
      <c r="H106" s="688"/>
      <c r="I106" s="688"/>
      <c r="J106" s="639"/>
      <c r="K106" s="76">
        <f>SUM(K97:K105)</f>
        <v>46059.580378279992</v>
      </c>
      <c r="L106" s="76">
        <f>SUM(L97:L105)</f>
        <v>33469.478141380001</v>
      </c>
      <c r="M106" s="129">
        <f>SUM(M97:M105)</f>
        <v>79529.058519659986</v>
      </c>
      <c r="N106" s="63"/>
      <c r="O106" s="80"/>
      <c r="P106" s="80"/>
      <c r="Q106" s="443">
        <f t="shared" si="110"/>
        <v>8.1443876710010604E-2</v>
      </c>
    </row>
    <row r="107" spans="1:37" s="61" customFormat="1" ht="15.75" customHeight="1" thickBot="1">
      <c r="A107" s="40"/>
      <c r="B107" s="650" t="s">
        <v>210</v>
      </c>
      <c r="C107" s="651"/>
      <c r="D107" s="648"/>
      <c r="E107" s="648"/>
      <c r="F107" s="648"/>
      <c r="G107" s="648"/>
      <c r="H107" s="648"/>
      <c r="I107" s="648"/>
      <c r="J107" s="649"/>
      <c r="K107" s="130">
        <f>SUM(K78+K82+K91+K95+K106)</f>
        <v>191723.08883901997</v>
      </c>
      <c r="L107" s="130">
        <f>SUM(L78+L82+L91+L95+L106)</f>
        <v>126364.04573363997</v>
      </c>
      <c r="M107" s="131">
        <f>SUM(M78+M82+M91+M95+M106)</f>
        <v>318087.13457265991</v>
      </c>
      <c r="N107" s="63"/>
      <c r="O107" s="81"/>
      <c r="P107" s="81"/>
      <c r="Q107" s="443">
        <f t="shared" si="110"/>
        <v>0.3257457067063369</v>
      </c>
    </row>
    <row r="108" spans="1:37" s="61" customFormat="1" ht="15.75" customHeight="1">
      <c r="A108" s="40"/>
      <c r="B108" s="321">
        <v>7</v>
      </c>
      <c r="C108" s="240"/>
      <c r="D108" s="636" t="s">
        <v>212</v>
      </c>
      <c r="E108" s="637"/>
      <c r="F108" s="112"/>
      <c r="G108" s="141"/>
      <c r="H108" s="142"/>
      <c r="I108" s="113"/>
      <c r="J108" s="113"/>
      <c r="K108" s="113"/>
      <c r="L108" s="113"/>
      <c r="M108" s="114"/>
      <c r="N108" s="41"/>
      <c r="O108" s="55"/>
      <c r="P108" s="55"/>
      <c r="Q108" s="437"/>
    </row>
    <row r="109" spans="1:37" s="61" customFormat="1" ht="15.75" customHeight="1">
      <c r="A109" s="40"/>
      <c r="B109" s="288" t="s">
        <v>213</v>
      </c>
      <c r="C109" s="143"/>
      <c r="D109" s="638" t="s">
        <v>214</v>
      </c>
      <c r="E109" s="639"/>
      <c r="F109" s="82"/>
      <c r="G109" s="664"/>
      <c r="H109" s="639"/>
      <c r="I109" s="74"/>
      <c r="J109" s="74"/>
      <c r="K109" s="74"/>
      <c r="L109" s="74"/>
      <c r="M109" s="144"/>
      <c r="N109" s="41"/>
      <c r="O109" s="55"/>
      <c r="P109" s="55"/>
      <c r="Q109" s="437"/>
    </row>
    <row r="110" spans="1:37" s="89" customFormat="1" ht="44.25" customHeight="1">
      <c r="A110" s="85"/>
      <c r="B110" s="263" t="s">
        <v>329</v>
      </c>
      <c r="C110" s="262">
        <v>95472</v>
      </c>
      <c r="D110" s="743" t="s">
        <v>215</v>
      </c>
      <c r="E110" s="728"/>
      <c r="F110" s="261" t="s">
        <v>16</v>
      </c>
      <c r="G110" s="753">
        <v>4</v>
      </c>
      <c r="H110" s="749"/>
      <c r="I110" s="471">
        <f t="shared" ref="I110" si="124">O110*(1+($Q$5/100))</f>
        <v>865.98536999999999</v>
      </c>
      <c r="J110" s="471">
        <f>P110*(1+($Q$5/100))</f>
        <v>42.705288999999993</v>
      </c>
      <c r="K110" s="471">
        <f t="shared" ref="K110:K117" si="125">G110*I110</f>
        <v>3463.94148</v>
      </c>
      <c r="L110" s="471">
        <f t="shared" ref="L110:L117" si="126">G110*J110</f>
        <v>170.82115599999997</v>
      </c>
      <c r="M110" s="472">
        <f t="shared" ref="M110:M117" si="127">G110*(I110+J110)</f>
        <v>3634.7626359999999</v>
      </c>
      <c r="N110" s="86"/>
      <c r="O110" s="479">
        <v>707.1</v>
      </c>
      <c r="P110" s="480">
        <v>34.869999999999997</v>
      </c>
      <c r="Q110" s="439">
        <f t="shared" ref="Q110:Q127" si="128">M110/$M$169</f>
        <v>3.7222766810870423E-3</v>
      </c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</row>
    <row r="111" spans="1:37" s="89" customFormat="1" ht="30" customHeight="1">
      <c r="A111" s="90"/>
      <c r="B111" s="263" t="s">
        <v>330</v>
      </c>
      <c r="C111" s="262">
        <v>99635</v>
      </c>
      <c r="D111" s="743" t="s">
        <v>341</v>
      </c>
      <c r="E111" s="750"/>
      <c r="F111" s="261" t="s">
        <v>16</v>
      </c>
      <c r="G111" s="753">
        <v>6</v>
      </c>
      <c r="H111" s="754"/>
      <c r="I111" s="471">
        <f t="shared" ref="I111:I112" si="129">O111*(1+($Q$5/100))</f>
        <v>373.92540399999996</v>
      </c>
      <c r="J111" s="471">
        <f t="shared" ref="J111:J112" si="130">P111*(1+($Q$5/100))</f>
        <v>47.163196999999997</v>
      </c>
      <c r="K111" s="471">
        <f t="shared" ref="K111:K112" si="131">G111*I111</f>
        <v>2243.5524239999995</v>
      </c>
      <c r="L111" s="471">
        <f t="shared" ref="L111:L112" si="132">G111*J111</f>
        <v>282.97918199999998</v>
      </c>
      <c r="M111" s="472">
        <f t="shared" ref="M111:M112" si="133">G111*(I111+J111)</f>
        <v>2526.5316059999996</v>
      </c>
      <c r="N111" s="91"/>
      <c r="O111" s="480">
        <v>305.32</v>
      </c>
      <c r="P111" s="480">
        <v>38.51</v>
      </c>
      <c r="Q111" s="439">
        <f t="shared" si="128"/>
        <v>2.5873628137084198E-3</v>
      </c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</row>
    <row r="112" spans="1:37" s="89" customFormat="1" ht="30" customHeight="1">
      <c r="A112" s="90"/>
      <c r="B112" s="605" t="s">
        <v>331</v>
      </c>
      <c r="C112" s="262">
        <v>95470</v>
      </c>
      <c r="D112" s="727" t="s">
        <v>401</v>
      </c>
      <c r="E112" s="750"/>
      <c r="F112" s="261" t="s">
        <v>16</v>
      </c>
      <c r="G112" s="753">
        <v>2</v>
      </c>
      <c r="H112" s="754"/>
      <c r="I112" s="471">
        <f t="shared" si="129"/>
        <v>341.78927599999997</v>
      </c>
      <c r="J112" s="471">
        <f t="shared" si="130"/>
        <v>20.513724999999997</v>
      </c>
      <c r="K112" s="471">
        <f t="shared" si="131"/>
        <v>683.57855199999995</v>
      </c>
      <c r="L112" s="471">
        <f t="shared" si="132"/>
        <v>41.027449999999995</v>
      </c>
      <c r="M112" s="472">
        <f t="shared" si="133"/>
        <v>724.60600199999999</v>
      </c>
      <c r="N112" s="91"/>
      <c r="O112" s="480">
        <v>279.08</v>
      </c>
      <c r="P112" s="480">
        <v>16.75</v>
      </c>
      <c r="Q112" s="439">
        <f t="shared" si="128"/>
        <v>7.4205231381725657E-4</v>
      </c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</row>
    <row r="113" spans="1:37" s="89" customFormat="1" ht="31.5" customHeight="1">
      <c r="A113" s="85"/>
      <c r="B113" s="605" t="s">
        <v>332</v>
      </c>
      <c r="C113" s="262">
        <v>86904</v>
      </c>
      <c r="D113" s="743" t="s">
        <v>216</v>
      </c>
      <c r="E113" s="728"/>
      <c r="F113" s="251" t="s">
        <v>16</v>
      </c>
      <c r="G113" s="775">
        <v>6</v>
      </c>
      <c r="H113" s="749"/>
      <c r="I113" s="471">
        <f t="shared" ref="I113" si="134">O113*(1+($Q$5/100))</f>
        <v>159.811103</v>
      </c>
      <c r="J113" s="471">
        <f>P113*(1+($Q$5/100))</f>
        <v>14.341237</v>
      </c>
      <c r="K113" s="471">
        <f t="shared" si="125"/>
        <v>958.86661800000002</v>
      </c>
      <c r="L113" s="471">
        <f t="shared" si="126"/>
        <v>86.047421999999997</v>
      </c>
      <c r="M113" s="472">
        <f t="shared" si="127"/>
        <v>1044.9140400000001</v>
      </c>
      <c r="N113" s="86"/>
      <c r="O113" s="480">
        <v>130.49</v>
      </c>
      <c r="P113" s="480">
        <v>11.71</v>
      </c>
      <c r="Q113" s="439">
        <f t="shared" si="128"/>
        <v>1.0700723965603276E-3</v>
      </c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</row>
    <row r="114" spans="1:37" s="89" customFormat="1" ht="31.5" customHeight="1">
      <c r="A114" s="85"/>
      <c r="B114" s="605" t="s">
        <v>344</v>
      </c>
      <c r="C114" s="262">
        <v>86915</v>
      </c>
      <c r="D114" s="655" t="s">
        <v>139</v>
      </c>
      <c r="E114" s="645"/>
      <c r="F114" s="251" t="s">
        <v>16</v>
      </c>
      <c r="G114" s="775">
        <v>6</v>
      </c>
      <c r="H114" s="749"/>
      <c r="I114" s="471">
        <f t="shared" ref="I114" si="135">O114*(1+($Q$5/100))</f>
        <v>242.00071999999997</v>
      </c>
      <c r="J114" s="471">
        <f>P114*(1+($Q$5/100))</f>
        <v>3.2209609999999995</v>
      </c>
      <c r="K114" s="471">
        <f t="shared" si="125"/>
        <v>1452.0043199999998</v>
      </c>
      <c r="L114" s="471">
        <f t="shared" si="126"/>
        <v>19.325765999999998</v>
      </c>
      <c r="M114" s="472">
        <f t="shared" si="127"/>
        <v>1471.3300859999997</v>
      </c>
      <c r="N114" s="86"/>
      <c r="O114" s="480">
        <v>197.6</v>
      </c>
      <c r="P114" s="480">
        <v>2.63</v>
      </c>
      <c r="Q114" s="439">
        <f t="shared" si="128"/>
        <v>1.5067552458739404E-3</v>
      </c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</row>
    <row r="115" spans="1:37" s="89" customFormat="1" ht="31.5" customHeight="1">
      <c r="A115" s="279"/>
      <c r="B115" s="605" t="s">
        <v>345</v>
      </c>
      <c r="C115" s="586" t="s">
        <v>482</v>
      </c>
      <c r="D115" s="694" t="s">
        <v>251</v>
      </c>
      <c r="E115" s="645"/>
      <c r="F115" s="230" t="s">
        <v>16</v>
      </c>
      <c r="G115" s="748">
        <v>1</v>
      </c>
      <c r="H115" s="749"/>
      <c r="I115" s="473">
        <f t="shared" ref="I115" si="136">O115*(1+($Q$5/100))</f>
        <v>577.82570699999997</v>
      </c>
      <c r="J115" s="473">
        <f>P115*(1+($Q$5/100))</f>
        <v>12.602162999999997</v>
      </c>
      <c r="K115" s="473">
        <f t="shared" si="125"/>
        <v>577.82570699999997</v>
      </c>
      <c r="L115" s="473">
        <f t="shared" si="126"/>
        <v>12.602162999999997</v>
      </c>
      <c r="M115" s="474">
        <f t="shared" si="127"/>
        <v>590.42786999999998</v>
      </c>
      <c r="N115" s="99"/>
      <c r="O115" s="481">
        <v>471.81</v>
      </c>
      <c r="P115" s="481">
        <v>10.29</v>
      </c>
      <c r="Q115" s="438">
        <f t="shared" si="128"/>
        <v>6.0464357991295574E-4</v>
      </c>
      <c r="R115" s="281"/>
      <c r="S115" s="281"/>
      <c r="T115" s="281"/>
      <c r="U115" s="281"/>
      <c r="V115" s="281"/>
      <c r="W115" s="281"/>
      <c r="X115" s="281"/>
      <c r="Y115" s="281"/>
      <c r="Z115" s="281"/>
      <c r="AA115" s="281"/>
      <c r="AB115" s="281"/>
      <c r="AC115" s="281"/>
      <c r="AD115" s="281"/>
      <c r="AE115" s="281"/>
      <c r="AF115" s="281"/>
      <c r="AG115" s="281"/>
      <c r="AH115" s="281"/>
      <c r="AI115" s="281"/>
      <c r="AJ115" s="281"/>
      <c r="AK115" s="281"/>
    </row>
    <row r="116" spans="1:37" s="89" customFormat="1" ht="16.5" customHeight="1">
      <c r="A116" s="279"/>
      <c r="B116" s="605" t="s">
        <v>346</v>
      </c>
      <c r="C116" s="587" t="s">
        <v>484</v>
      </c>
      <c r="D116" s="689" t="s">
        <v>404</v>
      </c>
      <c r="E116" s="645"/>
      <c r="F116" s="235" t="s">
        <v>16</v>
      </c>
      <c r="G116" s="869">
        <v>4</v>
      </c>
      <c r="H116" s="749"/>
      <c r="I116" s="473">
        <f t="shared" ref="I116" si="137">O116*(1+($Q$5/100))</f>
        <v>740.95574699999997</v>
      </c>
      <c r="J116" s="473">
        <f>P116*(1+($Q$5/100))</f>
        <v>57.31595999999999</v>
      </c>
      <c r="K116" s="473">
        <f t="shared" si="125"/>
        <v>2963.8229879999999</v>
      </c>
      <c r="L116" s="473">
        <f t="shared" si="126"/>
        <v>229.26383999999996</v>
      </c>
      <c r="M116" s="474">
        <f t="shared" si="127"/>
        <v>3193.086828</v>
      </c>
      <c r="N116" s="99"/>
      <c r="O116" s="482">
        <v>605.01</v>
      </c>
      <c r="P116" s="481">
        <v>46.8</v>
      </c>
      <c r="Q116" s="438">
        <f t="shared" si="128"/>
        <v>3.2699666610501031E-3</v>
      </c>
      <c r="R116" s="281"/>
      <c r="S116" s="281"/>
      <c r="T116" s="281"/>
      <c r="U116" s="281"/>
      <c r="V116" s="281"/>
      <c r="W116" s="281"/>
      <c r="X116" s="281"/>
      <c r="Y116" s="281"/>
      <c r="Z116" s="281"/>
      <c r="AA116" s="281"/>
      <c r="AB116" s="281"/>
      <c r="AC116" s="281"/>
      <c r="AD116" s="281"/>
      <c r="AE116" s="281"/>
      <c r="AF116" s="281"/>
      <c r="AG116" s="281"/>
      <c r="AH116" s="281"/>
      <c r="AI116" s="281"/>
      <c r="AJ116" s="281"/>
      <c r="AK116" s="281"/>
    </row>
    <row r="117" spans="1:37" s="89" customFormat="1" ht="15.75" customHeight="1">
      <c r="A117" s="279"/>
      <c r="B117" s="605" t="s">
        <v>347</v>
      </c>
      <c r="C117" s="588" t="s">
        <v>486</v>
      </c>
      <c r="D117" s="741" t="s">
        <v>217</v>
      </c>
      <c r="E117" s="742"/>
      <c r="F117" s="236" t="s">
        <v>16</v>
      </c>
      <c r="G117" s="870">
        <v>12</v>
      </c>
      <c r="H117" s="871"/>
      <c r="I117" s="475">
        <f t="shared" ref="I117" si="138">O117*(1+($Q$5/100))</f>
        <v>190.47759099999999</v>
      </c>
      <c r="J117" s="475">
        <f>P117*(1+($Q$5/100))</f>
        <v>30.274583999999997</v>
      </c>
      <c r="K117" s="475">
        <f t="shared" si="125"/>
        <v>2285.731092</v>
      </c>
      <c r="L117" s="475">
        <f t="shared" si="126"/>
        <v>363.29500799999994</v>
      </c>
      <c r="M117" s="476">
        <f t="shared" si="127"/>
        <v>2649.0261</v>
      </c>
      <c r="N117" s="99"/>
      <c r="O117" s="482">
        <v>155.53</v>
      </c>
      <c r="P117" s="482">
        <v>24.72</v>
      </c>
      <c r="Q117" s="438">
        <f t="shared" si="128"/>
        <v>2.7128066030942194E-3</v>
      </c>
      <c r="R117" s="281"/>
      <c r="S117" s="281"/>
      <c r="T117" s="281"/>
      <c r="U117" s="281"/>
      <c r="V117" s="281"/>
      <c r="W117" s="281"/>
      <c r="X117" s="281"/>
      <c r="Y117" s="281"/>
      <c r="Z117" s="281"/>
      <c r="AA117" s="281"/>
      <c r="AB117" s="281"/>
      <c r="AC117" s="281"/>
      <c r="AD117" s="281"/>
      <c r="AE117" s="281"/>
      <c r="AF117" s="281"/>
      <c r="AG117" s="281"/>
      <c r="AH117" s="281"/>
      <c r="AI117" s="281"/>
      <c r="AJ117" s="281"/>
      <c r="AK117" s="281"/>
    </row>
    <row r="118" spans="1:37" s="89" customFormat="1" ht="28.5" customHeight="1">
      <c r="A118" s="270"/>
      <c r="B118" s="605" t="s">
        <v>348</v>
      </c>
      <c r="C118" s="282">
        <v>95547</v>
      </c>
      <c r="D118" s="657" t="s">
        <v>237</v>
      </c>
      <c r="E118" s="645"/>
      <c r="F118" s="272" t="s">
        <v>16</v>
      </c>
      <c r="G118" s="872">
        <v>6</v>
      </c>
      <c r="H118" s="749"/>
      <c r="I118" s="475">
        <f t="shared" ref="I118:I120" si="139">O118*(1+($Q$5/100))</f>
        <v>47.236678999999995</v>
      </c>
      <c r="J118" s="475">
        <f t="shared" ref="J118:J120" si="140">P118*(1+($Q$5/100))</f>
        <v>10.667137</v>
      </c>
      <c r="K118" s="475">
        <f t="shared" ref="K118:K120" si="141">G118*I118</f>
        <v>283.420074</v>
      </c>
      <c r="L118" s="475">
        <f t="shared" ref="L118:L120" si="142">G118*J118</f>
        <v>64.002822000000009</v>
      </c>
      <c r="M118" s="476">
        <f t="shared" ref="M118:M120" si="143">G118*(I118+J118)</f>
        <v>347.42289599999992</v>
      </c>
      <c r="N118" s="162"/>
      <c r="O118" s="483">
        <v>38.57</v>
      </c>
      <c r="P118" s="484">
        <v>8.7100000000000009</v>
      </c>
      <c r="Q118" s="438">
        <f t="shared" si="128"/>
        <v>3.5578778417280074E-4</v>
      </c>
      <c r="R118" s="281"/>
      <c r="S118" s="281"/>
      <c r="T118" s="281"/>
      <c r="U118" s="281"/>
      <c r="V118" s="281"/>
      <c r="W118" s="281"/>
      <c r="X118" s="281"/>
      <c r="Y118" s="281"/>
      <c r="Z118" s="281"/>
      <c r="AA118" s="281"/>
      <c r="AB118" s="281"/>
      <c r="AC118" s="281"/>
      <c r="AD118" s="281"/>
      <c r="AE118" s="281"/>
      <c r="AF118" s="281"/>
      <c r="AG118" s="281"/>
      <c r="AH118" s="281"/>
      <c r="AI118" s="281"/>
      <c r="AJ118" s="281"/>
      <c r="AK118" s="281"/>
    </row>
    <row r="119" spans="1:37" s="89" customFormat="1" ht="17.25" customHeight="1">
      <c r="A119" s="270"/>
      <c r="B119" s="605" t="s">
        <v>349</v>
      </c>
      <c r="C119" s="589" t="s">
        <v>488</v>
      </c>
      <c r="D119" s="776" t="s">
        <v>264</v>
      </c>
      <c r="E119" s="777"/>
      <c r="F119" s="284" t="s">
        <v>16</v>
      </c>
      <c r="G119" s="873">
        <v>6</v>
      </c>
      <c r="H119" s="749"/>
      <c r="I119" s="475">
        <f t="shared" si="139"/>
        <v>47.579594999999998</v>
      </c>
      <c r="J119" s="475">
        <f t="shared" si="140"/>
        <v>5.0457640000000001</v>
      </c>
      <c r="K119" s="475">
        <f t="shared" si="141"/>
        <v>285.47757000000001</v>
      </c>
      <c r="L119" s="475">
        <f t="shared" si="142"/>
        <v>30.274584000000001</v>
      </c>
      <c r="M119" s="476">
        <f t="shared" si="143"/>
        <v>315.75215399999996</v>
      </c>
      <c r="N119" s="162"/>
      <c r="O119" s="483">
        <v>38.85</v>
      </c>
      <c r="P119" s="483">
        <v>4.12</v>
      </c>
      <c r="Q119" s="438">
        <f t="shared" si="128"/>
        <v>3.2335450689308906E-4</v>
      </c>
      <c r="R119" s="281"/>
      <c r="S119" s="281"/>
      <c r="T119" s="281"/>
      <c r="U119" s="281"/>
      <c r="V119" s="281"/>
      <c r="W119" s="281"/>
      <c r="X119" s="281"/>
      <c r="Y119" s="281"/>
      <c r="Z119" s="281"/>
      <c r="AA119" s="281"/>
      <c r="AB119" s="281"/>
      <c r="AC119" s="281"/>
      <c r="AD119" s="281"/>
      <c r="AE119" s="281"/>
      <c r="AF119" s="281"/>
      <c r="AG119" s="281"/>
      <c r="AH119" s="281"/>
      <c r="AI119" s="281"/>
      <c r="AJ119" s="281"/>
      <c r="AK119" s="281"/>
    </row>
    <row r="120" spans="1:37" s="89" customFormat="1" ht="16.5" customHeight="1">
      <c r="A120" s="270"/>
      <c r="B120" s="605" t="s">
        <v>350</v>
      </c>
      <c r="C120" s="590" t="s">
        <v>489</v>
      </c>
      <c r="D120" s="874" t="s">
        <v>252</v>
      </c>
      <c r="E120" s="875"/>
      <c r="F120" s="285" t="s">
        <v>16</v>
      </c>
      <c r="G120" s="779">
        <v>6</v>
      </c>
      <c r="H120" s="780"/>
      <c r="I120" s="477">
        <f t="shared" si="139"/>
        <v>60.806354999999996</v>
      </c>
      <c r="J120" s="477">
        <f t="shared" si="140"/>
        <v>5.0457640000000001</v>
      </c>
      <c r="K120" s="477">
        <f t="shared" si="141"/>
        <v>364.83812999999998</v>
      </c>
      <c r="L120" s="477">
        <f t="shared" si="142"/>
        <v>30.274584000000001</v>
      </c>
      <c r="M120" s="478">
        <f t="shared" si="143"/>
        <v>395.11271399999998</v>
      </c>
      <c r="N120" s="162"/>
      <c r="O120" s="483">
        <v>49.65</v>
      </c>
      <c r="P120" s="483">
        <v>4.12</v>
      </c>
      <c r="Q120" s="438">
        <f t="shared" si="128"/>
        <v>4.0462582815083543E-4</v>
      </c>
      <c r="R120" s="281"/>
      <c r="S120" s="281"/>
      <c r="T120" s="281"/>
      <c r="U120" s="281"/>
      <c r="V120" s="281"/>
      <c r="W120" s="281"/>
      <c r="X120" s="281"/>
      <c r="Y120" s="281"/>
      <c r="Z120" s="281"/>
      <c r="AA120" s="281"/>
      <c r="AB120" s="281"/>
      <c r="AC120" s="281"/>
      <c r="AD120" s="281"/>
      <c r="AE120" s="281"/>
      <c r="AF120" s="281"/>
      <c r="AG120" s="281"/>
      <c r="AH120" s="281"/>
      <c r="AI120" s="281"/>
      <c r="AJ120" s="281"/>
      <c r="AK120" s="281"/>
    </row>
    <row r="121" spans="1:37" s="89" customFormat="1" ht="16.5" customHeight="1">
      <c r="A121" s="270"/>
      <c r="B121" s="605" t="s">
        <v>516</v>
      </c>
      <c r="C121" s="595" t="s">
        <v>500</v>
      </c>
      <c r="D121" s="758" t="s">
        <v>268</v>
      </c>
      <c r="E121" s="759"/>
      <c r="F121" s="283" t="s">
        <v>16</v>
      </c>
      <c r="G121" s="760">
        <v>6</v>
      </c>
      <c r="H121" s="761"/>
      <c r="I121" s="477">
        <f t="shared" ref="I121" si="144">O121*(1+($Q$5/100))</f>
        <v>369.67569500000002</v>
      </c>
      <c r="J121" s="477">
        <f t="shared" ref="J121" si="145">P121*(1+($Q$5/100))</f>
        <v>5.0457640000000001</v>
      </c>
      <c r="K121" s="477">
        <f t="shared" ref="K121" si="146">G121*I121</f>
        <v>2218.0541700000003</v>
      </c>
      <c r="L121" s="477">
        <f t="shared" ref="L121" si="147">G121*J121</f>
        <v>30.274584000000001</v>
      </c>
      <c r="M121" s="478">
        <f t="shared" ref="M121" si="148">G121*(I121+J121)</f>
        <v>2248.3287540000001</v>
      </c>
      <c r="N121" s="162"/>
      <c r="O121" s="483">
        <v>301.85000000000002</v>
      </c>
      <c r="P121" s="483">
        <v>4.12</v>
      </c>
      <c r="Q121" s="438">
        <f t="shared" si="128"/>
        <v>2.3024616819659872E-3</v>
      </c>
      <c r="R121" s="281"/>
      <c r="S121" s="281"/>
      <c r="T121" s="281"/>
      <c r="U121" s="281"/>
      <c r="V121" s="281"/>
      <c r="W121" s="281"/>
      <c r="X121" s="281"/>
      <c r="Y121" s="281"/>
      <c r="Z121" s="281"/>
      <c r="AA121" s="281"/>
      <c r="AB121" s="281"/>
      <c r="AC121" s="281"/>
      <c r="AD121" s="281"/>
      <c r="AE121" s="281"/>
      <c r="AF121" s="281"/>
      <c r="AG121" s="281"/>
      <c r="AH121" s="281"/>
      <c r="AI121" s="281"/>
      <c r="AJ121" s="281"/>
      <c r="AK121" s="281"/>
    </row>
    <row r="122" spans="1:37" s="61" customFormat="1" ht="15.75" customHeight="1" thickBot="1">
      <c r="A122" s="40"/>
      <c r="B122" s="865" t="s">
        <v>218</v>
      </c>
      <c r="C122" s="866"/>
      <c r="D122" s="746"/>
      <c r="E122" s="746"/>
      <c r="F122" s="746"/>
      <c r="G122" s="746"/>
      <c r="H122" s="746"/>
      <c r="I122" s="746"/>
      <c r="J122" s="746"/>
      <c r="K122" s="138">
        <f>SUM(K110:K121)</f>
        <v>17781.113124999996</v>
      </c>
      <c r="L122" s="138">
        <f>SUM(L110:L121)</f>
        <v>1360.1885609999997</v>
      </c>
      <c r="M122" s="139">
        <f>SUM(M110:M121)</f>
        <v>19141.301685999999</v>
      </c>
      <c r="N122" s="41"/>
      <c r="O122" s="80"/>
      <c r="P122" s="80"/>
      <c r="Q122" s="443">
        <f t="shared" si="128"/>
        <v>1.9602166096286976E-2</v>
      </c>
    </row>
    <row r="123" spans="1:37" s="61" customFormat="1" ht="15.75" customHeight="1">
      <c r="A123" s="40"/>
      <c r="B123" s="292" t="s">
        <v>219</v>
      </c>
      <c r="C123" s="132"/>
      <c r="D123" s="764" t="s">
        <v>220</v>
      </c>
      <c r="E123" s="765"/>
      <c r="F123" s="133"/>
      <c r="G123" s="783"/>
      <c r="H123" s="765"/>
      <c r="I123" s="134"/>
      <c r="J123" s="134"/>
      <c r="K123" s="134"/>
      <c r="L123" s="134"/>
      <c r="M123" s="135"/>
      <c r="N123" s="41"/>
      <c r="O123" s="55"/>
      <c r="P123" s="55"/>
      <c r="Q123" s="443">
        <f t="shared" si="128"/>
        <v>0</v>
      </c>
    </row>
    <row r="124" spans="1:37" s="61" customFormat="1" ht="15.75" customHeight="1">
      <c r="A124" s="40"/>
      <c r="B124" s="293" t="s">
        <v>221</v>
      </c>
      <c r="C124" s="136"/>
      <c r="D124" s="864" t="s">
        <v>91</v>
      </c>
      <c r="E124" s="785"/>
      <c r="F124" s="105"/>
      <c r="G124" s="784"/>
      <c r="H124" s="785"/>
      <c r="I124" s="106"/>
      <c r="J124" s="106"/>
      <c r="K124" s="106"/>
      <c r="L124" s="106"/>
      <c r="M124" s="137"/>
      <c r="N124" s="41"/>
      <c r="O124" s="55"/>
      <c r="P124" s="55"/>
      <c r="Q124" s="443">
        <f t="shared" si="128"/>
        <v>0</v>
      </c>
    </row>
    <row r="125" spans="1:37" s="97" customFormat="1" ht="30" customHeight="1">
      <c r="A125" s="184"/>
      <c r="B125" s="275" t="s">
        <v>372</v>
      </c>
      <c r="C125" s="255">
        <v>95635</v>
      </c>
      <c r="D125" s="721" t="s">
        <v>257</v>
      </c>
      <c r="E125" s="699"/>
      <c r="F125" s="256" t="s">
        <v>16</v>
      </c>
      <c r="G125" s="696">
        <v>1</v>
      </c>
      <c r="H125" s="697"/>
      <c r="I125" s="276">
        <f>O125*(1+($Q$5/100))</f>
        <v>236.20788899999999</v>
      </c>
      <c r="J125" s="276">
        <f t="shared" ref="J125" si="149">P125*(1+($Q$5/100))</f>
        <v>86.855723999999995</v>
      </c>
      <c r="K125" s="276">
        <f>G125*I125</f>
        <v>236.20788899999999</v>
      </c>
      <c r="L125" s="276">
        <f>G125*J125</f>
        <v>86.855723999999995</v>
      </c>
      <c r="M125" s="277">
        <f>G125*(I125+J125)</f>
        <v>323.06361299999998</v>
      </c>
      <c r="N125" s="185"/>
      <c r="O125" s="186">
        <v>192.87</v>
      </c>
      <c r="P125" s="186">
        <v>70.92</v>
      </c>
      <c r="Q125" s="443">
        <f t="shared" si="128"/>
        <v>3.3084200362007589E-4</v>
      </c>
    </row>
    <row r="126" spans="1:37" s="61" customFormat="1" ht="15" customHeight="1">
      <c r="A126" s="40"/>
      <c r="B126" s="275" t="s">
        <v>373</v>
      </c>
      <c r="C126" s="278">
        <v>102607</v>
      </c>
      <c r="D126" s="867" t="s">
        <v>459</v>
      </c>
      <c r="E126" s="876"/>
      <c r="F126" s="268" t="s">
        <v>16</v>
      </c>
      <c r="G126" s="774">
        <v>2</v>
      </c>
      <c r="H126" s="682"/>
      <c r="I126" s="276">
        <f t="shared" ref="I126" si="150">O126*(1+($Q$5/100))</f>
        <v>586.58231199999989</v>
      </c>
      <c r="J126" s="276">
        <f>P126*(1+($Q$5/100))</f>
        <v>7.6911160000000001</v>
      </c>
      <c r="K126" s="276">
        <f>G126*I126</f>
        <v>1173.1646239999998</v>
      </c>
      <c r="L126" s="276">
        <f>G126*J126</f>
        <v>15.382232</v>
      </c>
      <c r="M126" s="277">
        <f>G126*(I126+J126)</f>
        <v>1188.5468559999997</v>
      </c>
      <c r="N126" s="41"/>
      <c r="O126" s="83">
        <v>478.96</v>
      </c>
      <c r="P126" s="83">
        <v>6.28</v>
      </c>
      <c r="Q126" s="443">
        <f t="shared" si="128"/>
        <v>1.2171634545403965E-3</v>
      </c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</row>
    <row r="127" spans="1:37" s="89" customFormat="1" ht="30.75" customHeight="1">
      <c r="A127" s="279"/>
      <c r="B127" s="275" t="s">
        <v>374</v>
      </c>
      <c r="C127" s="278">
        <v>91785</v>
      </c>
      <c r="D127" s="867" t="s">
        <v>238</v>
      </c>
      <c r="E127" s="868"/>
      <c r="F127" s="268" t="s">
        <v>41</v>
      </c>
      <c r="G127" s="774">
        <v>47.3</v>
      </c>
      <c r="H127" s="682"/>
      <c r="I127" s="276">
        <f t="shared" ref="I127" si="151">O127*(1+($Q$5/100))</f>
        <v>22.840654999999998</v>
      </c>
      <c r="J127" s="276">
        <f t="shared" ref="J127" si="152">P127*(1+($Q$5/100))</f>
        <v>36.459318999999994</v>
      </c>
      <c r="K127" s="276">
        <f t="shared" ref="K127" si="153">G127*I127</f>
        <v>1080.3629814999999</v>
      </c>
      <c r="L127" s="276">
        <f t="shared" ref="L127" si="154">G127*J127</f>
        <v>1724.5257886999996</v>
      </c>
      <c r="M127" s="277">
        <f t="shared" ref="M127" si="155">G127*(I127+J127)</f>
        <v>2804.8887701999993</v>
      </c>
      <c r="N127" s="99"/>
      <c r="O127" s="280">
        <v>18.649999999999999</v>
      </c>
      <c r="P127" s="280">
        <v>29.77</v>
      </c>
      <c r="Q127" s="445">
        <f t="shared" si="128"/>
        <v>2.8724219730199649E-3</v>
      </c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</row>
    <row r="128" spans="1:37" s="61" customFormat="1" ht="15.75" customHeight="1" thickBot="1">
      <c r="A128" s="40"/>
      <c r="B128" s="744" t="s">
        <v>222</v>
      </c>
      <c r="C128" s="745"/>
      <c r="D128" s="746"/>
      <c r="E128" s="746"/>
      <c r="F128" s="746"/>
      <c r="G128" s="746"/>
      <c r="H128" s="746"/>
      <c r="I128" s="746"/>
      <c r="J128" s="746"/>
      <c r="K128" s="138">
        <f>SUM(K125:K127)</f>
        <v>2489.7354944999997</v>
      </c>
      <c r="L128" s="138">
        <f>SUM(L125:L127)</f>
        <v>1826.7637446999995</v>
      </c>
      <c r="M128" s="139">
        <f>SUM(M125:M127)</f>
        <v>4316.4992391999986</v>
      </c>
      <c r="N128" s="41"/>
      <c r="O128" s="55"/>
      <c r="P128" s="55"/>
      <c r="Q128" s="437"/>
    </row>
    <row r="129" spans="1:37" s="61" customFormat="1" ht="15.75" customHeight="1">
      <c r="A129" s="40"/>
      <c r="B129" s="290" t="s">
        <v>223</v>
      </c>
      <c r="C129" s="127"/>
      <c r="D129" s="747" t="s">
        <v>224</v>
      </c>
      <c r="E129" s="637"/>
      <c r="F129" s="128"/>
      <c r="G129" s="705"/>
      <c r="H129" s="637"/>
      <c r="I129" s="121"/>
      <c r="J129" s="121"/>
      <c r="K129" s="121"/>
      <c r="L129" s="121"/>
      <c r="M129" s="122"/>
      <c r="N129" s="41"/>
      <c r="O129" s="55"/>
      <c r="P129" s="55"/>
      <c r="Q129" s="437"/>
    </row>
    <row r="130" spans="1:37" s="100" customFormat="1" ht="48.75" customHeight="1">
      <c r="A130" s="98"/>
      <c r="B130" s="330" t="s">
        <v>361</v>
      </c>
      <c r="C130" s="366">
        <v>91789</v>
      </c>
      <c r="D130" s="689" t="s">
        <v>426</v>
      </c>
      <c r="E130" s="643"/>
      <c r="F130" s="230" t="s">
        <v>41</v>
      </c>
      <c r="G130" s="695">
        <v>25</v>
      </c>
      <c r="H130" s="643"/>
      <c r="I130" s="333">
        <f t="shared" ref="I130" si="156">O130*(1+($Q$5/100))</f>
        <v>60.426698000000002</v>
      </c>
      <c r="J130" s="333">
        <f>P130*(1+($Q$5/100))</f>
        <v>9.944563999999998</v>
      </c>
      <c r="K130" s="333">
        <f t="shared" ref="K130:K132" si="157">G130*I130</f>
        <v>1510.6674500000001</v>
      </c>
      <c r="L130" s="333">
        <f t="shared" ref="L130:L132" si="158">G130*J130</f>
        <v>248.61409999999995</v>
      </c>
      <c r="M130" s="334">
        <f t="shared" ref="M130:M132" si="159">G130*(I130+J130)</f>
        <v>1759.2815500000002</v>
      </c>
      <c r="N130" s="99"/>
      <c r="O130" s="502">
        <v>49.34</v>
      </c>
      <c r="P130" s="502">
        <v>8.1199999999999992</v>
      </c>
      <c r="Q130" s="445">
        <f t="shared" ref="Q130:Q144" si="160">M130/$M$169</f>
        <v>1.8016397065856898E-3</v>
      </c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</row>
    <row r="131" spans="1:37" s="100" customFormat="1" ht="48.75" customHeight="1">
      <c r="A131" s="98"/>
      <c r="B131" s="330" t="s">
        <v>362</v>
      </c>
      <c r="C131" s="366">
        <v>91793</v>
      </c>
      <c r="D131" s="689" t="s">
        <v>427</v>
      </c>
      <c r="E131" s="643"/>
      <c r="F131" s="235" t="s">
        <v>41</v>
      </c>
      <c r="G131" s="722">
        <v>11</v>
      </c>
      <c r="H131" s="643"/>
      <c r="I131" s="333">
        <f t="shared" ref="I131" si="161">O131*(1+($Q$5/100))</f>
        <v>72.379769999999994</v>
      </c>
      <c r="J131" s="333">
        <f>P131*(1+($Q$5/100))</f>
        <v>55.258463999999989</v>
      </c>
      <c r="K131" s="333">
        <f t="shared" si="157"/>
        <v>796.17746999999997</v>
      </c>
      <c r="L131" s="333">
        <f t="shared" si="158"/>
        <v>607.84310399999993</v>
      </c>
      <c r="M131" s="334">
        <f t="shared" si="159"/>
        <v>1404.0205739999999</v>
      </c>
      <c r="N131" s="99"/>
      <c r="O131" s="503">
        <v>59.1</v>
      </c>
      <c r="P131" s="502">
        <v>45.12</v>
      </c>
      <c r="Q131" s="445">
        <f t="shared" si="160"/>
        <v>1.4378251252516296E-3</v>
      </c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</row>
    <row r="132" spans="1:37" s="100" customFormat="1" ht="46.5" customHeight="1">
      <c r="A132" s="98"/>
      <c r="B132" s="330" t="s">
        <v>363</v>
      </c>
      <c r="C132" s="366">
        <v>91795</v>
      </c>
      <c r="D132" s="689" t="s">
        <v>428</v>
      </c>
      <c r="E132" s="643"/>
      <c r="F132" s="235" t="s">
        <v>41</v>
      </c>
      <c r="G132" s="722">
        <v>34</v>
      </c>
      <c r="H132" s="643"/>
      <c r="I132" s="333">
        <f t="shared" ref="I132" si="162">O132*(1+($Q$5/100))</f>
        <v>62.790368999999998</v>
      </c>
      <c r="J132" s="333">
        <f>P132*(1+($Q$5/100))</f>
        <v>32.846453999999994</v>
      </c>
      <c r="K132" s="333">
        <f t="shared" si="157"/>
        <v>2134.8725460000001</v>
      </c>
      <c r="L132" s="333">
        <f t="shared" si="158"/>
        <v>1116.7794359999998</v>
      </c>
      <c r="M132" s="334">
        <f t="shared" si="159"/>
        <v>3251.6519819999999</v>
      </c>
      <c r="N132" s="99"/>
      <c r="O132" s="502">
        <v>51.27</v>
      </c>
      <c r="P132" s="502">
        <v>26.82</v>
      </c>
      <c r="Q132" s="445">
        <f t="shared" si="160"/>
        <v>3.3299418860893845E-3</v>
      </c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</row>
    <row r="133" spans="1:37" s="89" customFormat="1" ht="44.25" customHeight="1">
      <c r="A133" s="101"/>
      <c r="B133" s="330" t="s">
        <v>364</v>
      </c>
      <c r="C133" s="367">
        <v>91790</v>
      </c>
      <c r="D133" s="778" t="s">
        <v>429</v>
      </c>
      <c r="E133" s="656"/>
      <c r="F133" s="272" t="s">
        <v>41</v>
      </c>
      <c r="G133" s="652">
        <v>29.3</v>
      </c>
      <c r="H133" s="643"/>
      <c r="I133" s="232">
        <f t="shared" ref="I133" si="163">O133*(1+($Q$5/100))</f>
        <v>63.488447999999998</v>
      </c>
      <c r="J133" s="232">
        <f t="shared" ref="J133" si="164">P133*(1+($Q$5/100))</f>
        <v>17.598938999999998</v>
      </c>
      <c r="K133" s="232">
        <f t="shared" ref="K133" si="165">G133*I133</f>
        <v>1860.2115263999999</v>
      </c>
      <c r="L133" s="232">
        <f t="shared" ref="L133" si="166">G133*J133</f>
        <v>515.64891269999998</v>
      </c>
      <c r="M133" s="233">
        <f t="shared" ref="M133" si="167">G133*(I133+J133)</f>
        <v>2375.8604390999999</v>
      </c>
      <c r="N133" s="102"/>
      <c r="O133" s="103">
        <v>51.84</v>
      </c>
      <c r="P133" s="103">
        <v>14.37</v>
      </c>
      <c r="Q133" s="445">
        <f t="shared" si="160"/>
        <v>2.4330639427149517E-3</v>
      </c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</row>
    <row r="134" spans="1:37" s="61" customFormat="1" ht="30.75" customHeight="1">
      <c r="A134" s="66"/>
      <c r="B134" s="330" t="s">
        <v>365</v>
      </c>
      <c r="C134" s="368">
        <v>98102</v>
      </c>
      <c r="D134" s="694" t="s">
        <v>225</v>
      </c>
      <c r="E134" s="656"/>
      <c r="F134" s="230" t="s">
        <v>16</v>
      </c>
      <c r="G134" s="770">
        <v>1</v>
      </c>
      <c r="H134" s="643"/>
      <c r="I134" s="333">
        <f t="shared" ref="I134" si="168">O134*(1+($Q$5/100))</f>
        <v>203.65536299999997</v>
      </c>
      <c r="J134" s="333">
        <f>P134*(1+($Q$5/100))</f>
        <v>5.5111499999999998</v>
      </c>
      <c r="K134" s="333">
        <f t="shared" ref="K134:K140" si="169">G134*I134</f>
        <v>203.65536299999997</v>
      </c>
      <c r="L134" s="333">
        <f t="shared" ref="L134:L140" si="170">G134*J134</f>
        <v>5.5111499999999998</v>
      </c>
      <c r="M134" s="334">
        <f t="shared" ref="M134:M140" si="171">G134*(I134+J134)</f>
        <v>209.16651299999995</v>
      </c>
      <c r="N134" s="99"/>
      <c r="O134" s="280">
        <v>166.29</v>
      </c>
      <c r="P134" s="83">
        <v>4.5</v>
      </c>
      <c r="Q134" s="446">
        <f t="shared" si="160"/>
        <v>2.1420260737053243E-4</v>
      </c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</row>
    <row r="135" spans="1:37" s="61" customFormat="1" ht="30.75" customHeight="1">
      <c r="A135" s="66"/>
      <c r="B135" s="330" t="s">
        <v>366</v>
      </c>
      <c r="C135" s="591" t="s">
        <v>492</v>
      </c>
      <c r="D135" s="771" t="s">
        <v>460</v>
      </c>
      <c r="E135" s="643"/>
      <c r="F135" s="230" t="s">
        <v>16</v>
      </c>
      <c r="G135" s="763">
        <v>2</v>
      </c>
      <c r="H135" s="643"/>
      <c r="I135" s="333">
        <f t="shared" ref="I135" si="172">O135*(1+($Q$5/100))</f>
        <v>505.93581699999999</v>
      </c>
      <c r="J135" s="333">
        <f>P135*(1+($Q$5/100))</f>
        <v>16.827378</v>
      </c>
      <c r="K135" s="333">
        <f t="shared" si="169"/>
        <v>1011.871634</v>
      </c>
      <c r="L135" s="333">
        <f t="shared" si="170"/>
        <v>33.654755999999999</v>
      </c>
      <c r="M135" s="334">
        <f t="shared" si="171"/>
        <v>1045.52639</v>
      </c>
      <c r="N135" s="99"/>
      <c r="O135" s="280">
        <v>413.11</v>
      </c>
      <c r="P135" s="83">
        <v>13.74</v>
      </c>
      <c r="Q135" s="446">
        <f t="shared" si="160"/>
        <v>1.0706994900885507E-3</v>
      </c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</row>
    <row r="136" spans="1:37" s="89" customFormat="1" ht="23.25" customHeight="1">
      <c r="A136" s="98"/>
      <c r="B136" s="330" t="s">
        <v>367</v>
      </c>
      <c r="C136" s="592" t="s">
        <v>493</v>
      </c>
      <c r="D136" s="768" t="s">
        <v>462</v>
      </c>
      <c r="E136" s="769"/>
      <c r="F136" s="230" t="s">
        <v>16</v>
      </c>
      <c r="G136" s="770">
        <v>2</v>
      </c>
      <c r="H136" s="643"/>
      <c r="I136" s="333">
        <f t="shared" ref="I136" si="173">O136*(1+($Q$5/100))</f>
        <v>22.228304999999995</v>
      </c>
      <c r="J136" s="333">
        <f>P136*(1+($Q$5/100))</f>
        <v>16.827378</v>
      </c>
      <c r="K136" s="333">
        <f t="shared" si="169"/>
        <v>44.456609999999991</v>
      </c>
      <c r="L136" s="333">
        <f t="shared" si="170"/>
        <v>33.654755999999999</v>
      </c>
      <c r="M136" s="334">
        <f t="shared" si="171"/>
        <v>78.11136599999999</v>
      </c>
      <c r="N136" s="99"/>
      <c r="O136" s="280">
        <v>18.149999999999999</v>
      </c>
      <c r="P136" s="280">
        <v>13.74</v>
      </c>
      <c r="Q136" s="445">
        <f t="shared" si="160"/>
        <v>7.9992050460170739E-5</v>
      </c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</row>
    <row r="137" spans="1:37" s="337" customFormat="1" ht="15" customHeight="1">
      <c r="A137" s="335"/>
      <c r="B137" s="330" t="s">
        <v>368</v>
      </c>
      <c r="C137" s="368">
        <v>86882</v>
      </c>
      <c r="D137" s="694" t="s">
        <v>207</v>
      </c>
      <c r="E137" s="766"/>
      <c r="F137" s="230" t="s">
        <v>16</v>
      </c>
      <c r="G137" s="781">
        <v>8</v>
      </c>
      <c r="H137" s="782"/>
      <c r="I137" s="333">
        <f t="shared" ref="I137" si="174">O137*(1+($Q$5/100))</f>
        <v>30.152113999999997</v>
      </c>
      <c r="J137" s="333">
        <f t="shared" ref="J137" si="175">P137*(1+($Q$5/100))</f>
        <v>4.5558839999999998</v>
      </c>
      <c r="K137" s="333">
        <f t="shared" ref="K137" si="176">G137*I137</f>
        <v>241.21691199999998</v>
      </c>
      <c r="L137" s="333">
        <f t="shared" ref="L137" si="177">G137*J137</f>
        <v>36.447071999999999</v>
      </c>
      <c r="M137" s="334">
        <f t="shared" ref="M137" si="178">G137*(I137+J137)</f>
        <v>277.66398399999997</v>
      </c>
      <c r="N137" s="336"/>
      <c r="O137" s="235">
        <v>24.62</v>
      </c>
      <c r="P137" s="504">
        <v>3.72</v>
      </c>
      <c r="Q137" s="445">
        <f t="shared" si="160"/>
        <v>2.843492894375966E-4</v>
      </c>
      <c r="R137" s="336"/>
      <c r="S137" s="336"/>
      <c r="T137" s="336"/>
      <c r="U137" s="336"/>
      <c r="V137" s="336"/>
      <c r="W137" s="336"/>
      <c r="X137" s="336"/>
      <c r="Y137" s="336"/>
      <c r="Z137" s="336"/>
      <c r="AA137" s="336"/>
      <c r="AB137" s="336"/>
      <c r="AC137" s="336"/>
      <c r="AD137" s="336"/>
      <c r="AE137" s="336"/>
      <c r="AF137" s="336"/>
      <c r="AG137" s="336"/>
      <c r="AH137" s="336"/>
      <c r="AI137" s="336"/>
      <c r="AJ137" s="336"/>
      <c r="AK137" s="336"/>
    </row>
    <row r="138" spans="1:37" s="89" customFormat="1" ht="30.75" customHeight="1">
      <c r="A138" s="101"/>
      <c r="B138" s="332" t="s">
        <v>369</v>
      </c>
      <c r="C138" s="593" t="s">
        <v>494</v>
      </c>
      <c r="D138" s="778" t="s">
        <v>405</v>
      </c>
      <c r="E138" s="656"/>
      <c r="F138" s="331" t="s">
        <v>16</v>
      </c>
      <c r="G138" s="767">
        <v>1</v>
      </c>
      <c r="H138" s="643"/>
      <c r="I138" s="232">
        <f t="shared" ref="I138" si="179">O138*(1+($Q$5/100))</f>
        <v>4545.9271889999991</v>
      </c>
      <c r="J138" s="232">
        <f>P138*(1+($Q$5/100))</f>
        <v>567.72193199999992</v>
      </c>
      <c r="K138" s="232">
        <f t="shared" si="169"/>
        <v>4545.9271889999991</v>
      </c>
      <c r="L138" s="232">
        <f t="shared" si="170"/>
        <v>567.72193199999992</v>
      </c>
      <c r="M138" s="233">
        <f t="shared" si="171"/>
        <v>5113.6491209999986</v>
      </c>
      <c r="N138" s="102"/>
      <c r="O138" s="576">
        <v>3711.87</v>
      </c>
      <c r="P138" s="576">
        <v>463.56</v>
      </c>
      <c r="Q138" s="438">
        <f t="shared" si="160"/>
        <v>5.2367702610992576E-3</v>
      </c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</row>
    <row r="139" spans="1:37" s="89" customFormat="1" ht="30.75" customHeight="1">
      <c r="A139" s="101"/>
      <c r="B139" s="332" t="s">
        <v>370</v>
      </c>
      <c r="C139" s="593" t="s">
        <v>495</v>
      </c>
      <c r="D139" s="640" t="s">
        <v>406</v>
      </c>
      <c r="E139" s="643"/>
      <c r="F139" s="331" t="s">
        <v>16</v>
      </c>
      <c r="G139" s="767">
        <v>1</v>
      </c>
      <c r="H139" s="643"/>
      <c r="I139" s="232">
        <f t="shared" ref="I139" si="180">O139*(1+($Q$5/100))</f>
        <v>6337.8102529999996</v>
      </c>
      <c r="J139" s="232">
        <f>P139*(1+($Q$5/100))</f>
        <v>3518.1956899999996</v>
      </c>
      <c r="K139" s="232">
        <f t="shared" si="169"/>
        <v>6337.8102529999996</v>
      </c>
      <c r="L139" s="232">
        <f t="shared" si="170"/>
        <v>3518.1956899999996</v>
      </c>
      <c r="M139" s="233">
        <f t="shared" si="171"/>
        <v>9856.0059430000001</v>
      </c>
      <c r="N139" s="102"/>
      <c r="O139" s="576">
        <v>5174.99</v>
      </c>
      <c r="P139" s="576">
        <v>2872.7</v>
      </c>
      <c r="Q139" s="438">
        <f t="shared" si="160"/>
        <v>1.0093308632295571E-2</v>
      </c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</row>
    <row r="140" spans="1:37" s="89" customFormat="1" ht="30.75" customHeight="1">
      <c r="A140" s="101"/>
      <c r="B140" s="332" t="s">
        <v>371</v>
      </c>
      <c r="C140" s="593" t="s">
        <v>496</v>
      </c>
      <c r="D140" s="778" t="s">
        <v>192</v>
      </c>
      <c r="E140" s="656"/>
      <c r="F140" s="331" t="s">
        <v>16</v>
      </c>
      <c r="G140" s="767">
        <v>1</v>
      </c>
      <c r="H140" s="643"/>
      <c r="I140" s="232">
        <f t="shared" ref="I140" si="181">O140*(1+($Q$5/100))</f>
        <v>6487.982966999999</v>
      </c>
      <c r="J140" s="232">
        <f>P140*(1+($Q$5/100))</f>
        <v>3260.7759970000002</v>
      </c>
      <c r="K140" s="232">
        <f t="shared" si="169"/>
        <v>6487.982966999999</v>
      </c>
      <c r="L140" s="232">
        <f t="shared" si="170"/>
        <v>3260.7759970000002</v>
      </c>
      <c r="M140" s="233">
        <f t="shared" si="171"/>
        <v>9748.7589639999987</v>
      </c>
      <c r="N140" s="102"/>
      <c r="O140" s="576">
        <v>5297.61</v>
      </c>
      <c r="P140" s="576">
        <v>2662.51</v>
      </c>
      <c r="Q140" s="438">
        <f t="shared" si="160"/>
        <v>9.9834794717625318E-3</v>
      </c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</row>
    <row r="141" spans="1:37" s="61" customFormat="1" ht="15" customHeight="1">
      <c r="A141" s="66"/>
      <c r="B141" s="756" t="s">
        <v>226</v>
      </c>
      <c r="C141" s="757"/>
      <c r="D141" s="688"/>
      <c r="E141" s="688"/>
      <c r="F141" s="688"/>
      <c r="G141" s="688"/>
      <c r="H141" s="688"/>
      <c r="I141" s="688"/>
      <c r="J141" s="639"/>
      <c r="K141" s="76">
        <f>SUM(K130:K140)</f>
        <v>25174.8499204</v>
      </c>
      <c r="L141" s="76">
        <f>SUM(L130:L140)</f>
        <v>9944.8469056999984</v>
      </c>
      <c r="M141" s="129">
        <f>SUM(M130:M140)</f>
        <v>35119.696826099993</v>
      </c>
      <c r="N141" s="41"/>
      <c r="O141" s="577"/>
      <c r="P141" s="577"/>
      <c r="Q141" s="436">
        <f t="shared" si="160"/>
        <v>3.596527246315586E-2</v>
      </c>
    </row>
    <row r="142" spans="1:37" s="61" customFormat="1" ht="15.75" customHeight="1" thickBot="1">
      <c r="A142" s="66"/>
      <c r="B142" s="646" t="s">
        <v>227</v>
      </c>
      <c r="C142" s="647"/>
      <c r="D142" s="648"/>
      <c r="E142" s="648"/>
      <c r="F142" s="648"/>
      <c r="G142" s="648"/>
      <c r="H142" s="648"/>
      <c r="I142" s="648"/>
      <c r="J142" s="649"/>
      <c r="K142" s="130">
        <f>SUM(K128+K141)</f>
        <v>27664.585414900001</v>
      </c>
      <c r="L142" s="130">
        <f>SUM(L128+L141)</f>
        <v>11771.610650399998</v>
      </c>
      <c r="M142" s="131">
        <f>SUM(M128+M141)</f>
        <v>39436.196065299991</v>
      </c>
      <c r="N142" s="41"/>
      <c r="O142" s="578"/>
      <c r="P142" s="578"/>
      <c r="Q142" s="436">
        <f t="shared" si="160"/>
        <v>4.0385699894336297E-2</v>
      </c>
    </row>
    <row r="143" spans="1:37" s="61" customFormat="1" ht="15.75" customHeight="1">
      <c r="A143" s="66"/>
      <c r="B143" s="291" t="s">
        <v>228</v>
      </c>
      <c r="C143" s="119"/>
      <c r="D143" s="658" t="s">
        <v>229</v>
      </c>
      <c r="E143" s="637"/>
      <c r="F143" s="120"/>
      <c r="G143" s="669"/>
      <c r="H143" s="637"/>
      <c r="I143" s="121"/>
      <c r="J143" s="121"/>
      <c r="K143" s="121"/>
      <c r="L143" s="121"/>
      <c r="M143" s="122"/>
      <c r="N143" s="41"/>
      <c r="O143" s="577"/>
      <c r="P143" s="577"/>
      <c r="Q143" s="436">
        <f t="shared" si="160"/>
        <v>0</v>
      </c>
    </row>
    <row r="144" spans="1:37" s="89" customFormat="1" ht="29.25" customHeight="1">
      <c r="A144" s="98"/>
      <c r="B144" s="242" t="s">
        <v>351</v>
      </c>
      <c r="C144" s="586" t="s">
        <v>497</v>
      </c>
      <c r="D144" s="689" t="s">
        <v>528</v>
      </c>
      <c r="E144" s="728"/>
      <c r="F144" s="230" t="s">
        <v>16</v>
      </c>
      <c r="G144" s="763">
        <v>1</v>
      </c>
      <c r="H144" s="643"/>
      <c r="I144" s="232">
        <f t="shared" ref="I144" si="182">O144*(1+($Q$5/100))</f>
        <v>4840.7247259999995</v>
      </c>
      <c r="J144" s="232">
        <f>P144*(1+($Q$5/100))</f>
        <v>107.35720199999999</v>
      </c>
      <c r="K144" s="232">
        <f t="shared" ref="K144:K159" si="183">G144*I144</f>
        <v>4840.7247259999995</v>
      </c>
      <c r="L144" s="232">
        <f t="shared" ref="L144:L159" si="184">G144*J144</f>
        <v>107.35720199999999</v>
      </c>
      <c r="M144" s="233">
        <f t="shared" ref="M144:M159" si="185">G144*(I144+J144)</f>
        <v>4948.0819279999996</v>
      </c>
      <c r="N144" s="99"/>
      <c r="O144" s="634">
        <v>3952.58</v>
      </c>
      <c r="P144" s="576">
        <v>87.66</v>
      </c>
      <c r="Q144" s="438">
        <f t="shared" si="160"/>
        <v>5.0672167129382287E-3</v>
      </c>
      <c r="R144" s="635"/>
      <c r="S144" s="100"/>
      <c r="T144" s="100"/>
      <c r="U144" s="100"/>
    </row>
    <row r="145" spans="1:17" s="89" customFormat="1" ht="47.25" customHeight="1">
      <c r="A145" s="574"/>
      <c r="B145" s="242" t="s">
        <v>352</v>
      </c>
      <c r="C145" s="229">
        <v>100579</v>
      </c>
      <c r="D145" s="689" t="s">
        <v>469</v>
      </c>
      <c r="E145" s="772"/>
      <c r="F145" s="230"/>
      <c r="G145" s="492"/>
      <c r="H145" s="491"/>
      <c r="I145" s="232"/>
      <c r="J145" s="232"/>
      <c r="K145" s="232"/>
      <c r="L145" s="232"/>
      <c r="M145" s="233"/>
      <c r="N145" s="274"/>
      <c r="O145" s="576">
        <v>380.99</v>
      </c>
      <c r="P145" s="576">
        <v>121.38</v>
      </c>
      <c r="Q145" s="438"/>
    </row>
    <row r="146" spans="1:17" s="89" customFormat="1" ht="42" customHeight="1">
      <c r="A146" s="101"/>
      <c r="B146" s="608" t="s">
        <v>353</v>
      </c>
      <c r="C146" s="271">
        <v>101880</v>
      </c>
      <c r="D146" s="640" t="s">
        <v>425</v>
      </c>
      <c r="E146" s="728"/>
      <c r="F146" s="272" t="s">
        <v>16</v>
      </c>
      <c r="G146" s="762">
        <v>1</v>
      </c>
      <c r="H146" s="643"/>
      <c r="I146" s="232">
        <f t="shared" ref="I146" si="186">O146*(1+($Q$5/100))</f>
        <v>888.55659099999991</v>
      </c>
      <c r="J146" s="232">
        <f>P146*(1+($Q$5/100))</f>
        <v>35.651016999999996</v>
      </c>
      <c r="K146" s="232">
        <f t="shared" si="183"/>
        <v>888.55659099999991</v>
      </c>
      <c r="L146" s="232">
        <f t="shared" si="184"/>
        <v>35.651016999999996</v>
      </c>
      <c r="M146" s="233">
        <f t="shared" si="185"/>
        <v>924.20760799999994</v>
      </c>
      <c r="N146" s="102"/>
      <c r="O146" s="103">
        <v>725.53</v>
      </c>
      <c r="P146" s="103">
        <v>29.11</v>
      </c>
      <c r="Q146" s="438">
        <f t="shared" ref="Q146:Q159" si="187">M146/$M$169</f>
        <v>9.4645972027694028E-4</v>
      </c>
    </row>
    <row r="147" spans="1:17" s="89" customFormat="1" ht="15" customHeight="1">
      <c r="A147" s="161"/>
      <c r="B147" s="608" t="s">
        <v>354</v>
      </c>
      <c r="C147" s="271">
        <v>93654</v>
      </c>
      <c r="D147" s="657" t="s">
        <v>283</v>
      </c>
      <c r="E147" s="787"/>
      <c r="F147" s="272" t="s">
        <v>16</v>
      </c>
      <c r="G147" s="762">
        <v>15</v>
      </c>
      <c r="H147" s="773"/>
      <c r="I147" s="232">
        <f t="shared" ref="I147:I154" si="188">O147*(1+($Q$5/100))</f>
        <v>13.349229999999999</v>
      </c>
      <c r="J147" s="232">
        <f t="shared" ref="J147:J154" si="189">P147*(1+($Q$5/100))</f>
        <v>2.3391769999999998</v>
      </c>
      <c r="K147" s="232">
        <f t="shared" ref="K147:K154" si="190">G147*I147</f>
        <v>200.23844999999997</v>
      </c>
      <c r="L147" s="232">
        <f t="shared" ref="L147:L154" si="191">G147*J147</f>
        <v>35.087654999999998</v>
      </c>
      <c r="M147" s="233">
        <f t="shared" ref="M147:M154" si="192">G147*(I147+J147)</f>
        <v>235.32610499999998</v>
      </c>
      <c r="N147" s="162"/>
      <c r="O147" s="103">
        <v>10.9</v>
      </c>
      <c r="P147" s="103">
        <v>1.91</v>
      </c>
      <c r="Q147" s="438">
        <f t="shared" si="187"/>
        <v>2.4099204289623405E-4</v>
      </c>
    </row>
    <row r="148" spans="1:17" s="89" customFormat="1" ht="15.75" customHeight="1">
      <c r="A148" s="161"/>
      <c r="B148" s="608" t="s">
        <v>355</v>
      </c>
      <c r="C148" s="271">
        <v>93655</v>
      </c>
      <c r="D148" s="657" t="s">
        <v>284</v>
      </c>
      <c r="E148" s="787"/>
      <c r="F148" s="272" t="s">
        <v>16</v>
      </c>
      <c r="G148" s="762">
        <v>6</v>
      </c>
      <c r="H148" s="773"/>
      <c r="I148" s="232">
        <f t="shared" si="188"/>
        <v>14.022814999999998</v>
      </c>
      <c r="J148" s="232">
        <f t="shared" si="189"/>
        <v>3.2821959999999999</v>
      </c>
      <c r="K148" s="232">
        <f t="shared" si="190"/>
        <v>84.136889999999994</v>
      </c>
      <c r="L148" s="232">
        <f t="shared" si="191"/>
        <v>19.693176000000001</v>
      </c>
      <c r="M148" s="233">
        <f t="shared" si="192"/>
        <v>103.83006599999999</v>
      </c>
      <c r="N148" s="162"/>
      <c r="O148" s="103">
        <v>11.45</v>
      </c>
      <c r="P148" s="204">
        <v>2.68</v>
      </c>
      <c r="Q148" s="438">
        <f t="shared" si="187"/>
        <v>1.0632997864555151E-4</v>
      </c>
    </row>
    <row r="149" spans="1:17" s="89" customFormat="1" ht="15" customHeight="1">
      <c r="A149" s="161"/>
      <c r="B149" s="608" t="s">
        <v>356</v>
      </c>
      <c r="C149" s="271">
        <v>93658</v>
      </c>
      <c r="D149" s="657" t="s">
        <v>285</v>
      </c>
      <c r="E149" s="787"/>
      <c r="F149" s="272" t="s">
        <v>16</v>
      </c>
      <c r="G149" s="762">
        <v>4</v>
      </c>
      <c r="H149" s="773"/>
      <c r="I149" s="232">
        <f t="shared" si="188"/>
        <v>20.930122999999998</v>
      </c>
      <c r="J149" s="232">
        <f t="shared" si="189"/>
        <v>6.7113560000000003</v>
      </c>
      <c r="K149" s="232">
        <f t="shared" si="190"/>
        <v>83.720491999999993</v>
      </c>
      <c r="L149" s="232">
        <f t="shared" si="191"/>
        <v>26.845424000000001</v>
      </c>
      <c r="M149" s="233">
        <f t="shared" si="192"/>
        <v>110.56591599999999</v>
      </c>
      <c r="N149" s="162"/>
      <c r="O149" s="103">
        <v>17.09</v>
      </c>
      <c r="P149" s="103">
        <v>5.48</v>
      </c>
      <c r="Q149" s="438">
        <f t="shared" si="187"/>
        <v>1.1322800745600838E-4</v>
      </c>
    </row>
    <row r="150" spans="1:17" s="89" customFormat="1" ht="15" customHeight="1">
      <c r="A150" s="161"/>
      <c r="B150" s="608" t="s">
        <v>517</v>
      </c>
      <c r="C150" s="271">
        <v>93659</v>
      </c>
      <c r="D150" s="657" t="s">
        <v>267</v>
      </c>
      <c r="E150" s="787"/>
      <c r="F150" s="272" t="s">
        <v>16</v>
      </c>
      <c r="G150" s="762">
        <v>1</v>
      </c>
      <c r="H150" s="773"/>
      <c r="I150" s="232">
        <f t="shared" si="188"/>
        <v>22.118081999999998</v>
      </c>
      <c r="J150" s="232">
        <f t="shared" si="189"/>
        <v>9.381202</v>
      </c>
      <c r="K150" s="232">
        <f t="shared" si="190"/>
        <v>22.118081999999998</v>
      </c>
      <c r="L150" s="232">
        <f t="shared" si="191"/>
        <v>9.381202</v>
      </c>
      <c r="M150" s="233">
        <f t="shared" si="192"/>
        <v>31.499283999999996</v>
      </c>
      <c r="N150" s="162"/>
      <c r="O150" s="103">
        <v>18.059999999999999</v>
      </c>
      <c r="P150" s="103">
        <v>7.66</v>
      </c>
      <c r="Q150" s="438">
        <f t="shared" si="187"/>
        <v>3.2257691091809206E-5</v>
      </c>
    </row>
    <row r="151" spans="1:17" s="89" customFormat="1" ht="30.75" customHeight="1">
      <c r="A151" s="161"/>
      <c r="B151" s="608" t="s">
        <v>357</v>
      </c>
      <c r="C151" s="271">
        <v>93657</v>
      </c>
      <c r="D151" s="640" t="s">
        <v>421</v>
      </c>
      <c r="E151" s="641"/>
      <c r="F151" s="272" t="s">
        <v>16</v>
      </c>
      <c r="G151" s="762">
        <v>1</v>
      </c>
      <c r="H151" s="773"/>
      <c r="I151" s="232">
        <f t="shared" si="188"/>
        <v>14.708646999999999</v>
      </c>
      <c r="J151" s="232">
        <f t="shared" si="189"/>
        <v>4.5191429999999997</v>
      </c>
      <c r="K151" s="232">
        <f t="shared" si="190"/>
        <v>14.708646999999999</v>
      </c>
      <c r="L151" s="232">
        <f t="shared" si="191"/>
        <v>4.5191429999999997</v>
      </c>
      <c r="M151" s="233">
        <f t="shared" si="192"/>
        <v>19.227789999999999</v>
      </c>
      <c r="N151" s="162"/>
      <c r="O151" s="103">
        <v>12.01</v>
      </c>
      <c r="P151" s="103">
        <v>3.69</v>
      </c>
      <c r="Q151" s="438">
        <f t="shared" si="187"/>
        <v>1.9690736786213244E-5</v>
      </c>
    </row>
    <row r="152" spans="1:17" s="89" customFormat="1" ht="42" customHeight="1">
      <c r="A152" s="161"/>
      <c r="B152" s="608" t="s">
        <v>358</v>
      </c>
      <c r="C152" s="271">
        <v>104473</v>
      </c>
      <c r="D152" s="640" t="s">
        <v>407</v>
      </c>
      <c r="E152" s="789"/>
      <c r="F152" s="272" t="s">
        <v>16</v>
      </c>
      <c r="G152" s="762">
        <v>20</v>
      </c>
      <c r="H152" s="773"/>
      <c r="I152" s="232">
        <f t="shared" si="188"/>
        <v>98.649584999999988</v>
      </c>
      <c r="J152" s="232">
        <f t="shared" si="189"/>
        <v>96.175691</v>
      </c>
      <c r="K152" s="232">
        <f t="shared" si="190"/>
        <v>1972.9916999999998</v>
      </c>
      <c r="L152" s="232">
        <f t="shared" si="191"/>
        <v>1923.5138200000001</v>
      </c>
      <c r="M152" s="233">
        <f t="shared" si="192"/>
        <v>3896.5055199999997</v>
      </c>
      <c r="N152" s="162"/>
      <c r="O152" s="103">
        <v>80.55</v>
      </c>
      <c r="P152" s="103">
        <v>78.53</v>
      </c>
      <c r="Q152" s="438">
        <f t="shared" si="187"/>
        <v>3.9903215387908312E-3</v>
      </c>
    </row>
    <row r="153" spans="1:17" s="89" customFormat="1" ht="48.75" customHeight="1">
      <c r="A153" s="161"/>
      <c r="B153" s="608" t="s">
        <v>518</v>
      </c>
      <c r="C153" s="594" t="s">
        <v>498</v>
      </c>
      <c r="D153" s="640" t="s">
        <v>420</v>
      </c>
      <c r="E153" s="789"/>
      <c r="F153" s="272" t="s">
        <v>16</v>
      </c>
      <c r="G153" s="762">
        <v>7</v>
      </c>
      <c r="H153" s="773"/>
      <c r="I153" s="232">
        <f t="shared" si="188"/>
        <v>110.77411499999999</v>
      </c>
      <c r="J153" s="232">
        <f t="shared" si="189"/>
        <v>104.148488</v>
      </c>
      <c r="K153" s="232">
        <f t="shared" si="190"/>
        <v>775.41880500000002</v>
      </c>
      <c r="L153" s="232">
        <f t="shared" si="191"/>
        <v>729.03941599999996</v>
      </c>
      <c r="M153" s="233">
        <f t="shared" si="192"/>
        <v>1504.4582209999999</v>
      </c>
      <c r="N153" s="162"/>
      <c r="O153" s="576">
        <v>90.45</v>
      </c>
      <c r="P153" s="576">
        <v>85.04</v>
      </c>
      <c r="Q153" s="438">
        <f t="shared" si="187"/>
        <v>1.5406810057508238E-3</v>
      </c>
    </row>
    <row r="154" spans="1:17" s="89" customFormat="1" ht="32.25" customHeight="1">
      <c r="A154" s="161"/>
      <c r="B154" s="608" t="s">
        <v>359</v>
      </c>
      <c r="C154" s="594" t="s">
        <v>499</v>
      </c>
      <c r="D154" s="640" t="s">
        <v>464</v>
      </c>
      <c r="E154" s="641"/>
      <c r="F154" s="272" t="s">
        <v>16</v>
      </c>
      <c r="G154" s="762">
        <v>37</v>
      </c>
      <c r="H154" s="773"/>
      <c r="I154" s="232">
        <f t="shared" si="188"/>
        <v>29.037637</v>
      </c>
      <c r="J154" s="232">
        <f t="shared" si="189"/>
        <v>19.533964999999998</v>
      </c>
      <c r="K154" s="232">
        <f t="shared" si="190"/>
        <v>1074.3925690000001</v>
      </c>
      <c r="L154" s="232">
        <f t="shared" si="191"/>
        <v>722.7567049999999</v>
      </c>
      <c r="M154" s="233">
        <f t="shared" si="192"/>
        <v>1797.1492739999999</v>
      </c>
      <c r="N154" s="162"/>
      <c r="O154" s="576">
        <v>23.71</v>
      </c>
      <c r="P154" s="576">
        <v>15.95</v>
      </c>
      <c r="Q154" s="438">
        <f t="shared" si="187"/>
        <v>1.8404191703710214E-3</v>
      </c>
    </row>
    <row r="155" spans="1:17" s="89" customFormat="1" ht="28.5" customHeight="1">
      <c r="A155" s="101"/>
      <c r="B155" s="608" t="s">
        <v>519</v>
      </c>
      <c r="C155" s="271">
        <v>97586</v>
      </c>
      <c r="D155" s="788" t="s">
        <v>253</v>
      </c>
      <c r="E155" s="728"/>
      <c r="F155" s="272" t="s">
        <v>16</v>
      </c>
      <c r="G155" s="762">
        <v>6</v>
      </c>
      <c r="H155" s="643"/>
      <c r="I155" s="232">
        <f t="shared" ref="I155" si="193">O155*(1+($Q$5/100))</f>
        <v>177.850934</v>
      </c>
      <c r="J155" s="232">
        <f t="shared" ref="J155:J159" si="194">P155*(1+($Q$5/100))</f>
        <v>15.06381</v>
      </c>
      <c r="K155" s="232">
        <f t="shared" si="183"/>
        <v>1067.1056039999999</v>
      </c>
      <c r="L155" s="232">
        <f t="shared" si="184"/>
        <v>90.382859999999994</v>
      </c>
      <c r="M155" s="233">
        <f t="shared" si="185"/>
        <v>1157.488464</v>
      </c>
      <c r="N155" s="102"/>
      <c r="O155" s="576">
        <v>145.22</v>
      </c>
      <c r="P155" s="576">
        <v>12.3</v>
      </c>
      <c r="Q155" s="438">
        <f t="shared" si="187"/>
        <v>1.1853572707889084E-3</v>
      </c>
    </row>
    <row r="156" spans="1:17" s="89" customFormat="1" ht="14.25" customHeight="1">
      <c r="A156" s="101"/>
      <c r="B156" s="608" t="s">
        <v>360</v>
      </c>
      <c r="C156" s="271">
        <v>97594</v>
      </c>
      <c r="D156" s="640" t="s">
        <v>230</v>
      </c>
      <c r="E156" s="728"/>
      <c r="F156" s="348" t="s">
        <v>16</v>
      </c>
      <c r="G156" s="762">
        <v>2</v>
      </c>
      <c r="H156" s="643"/>
      <c r="I156" s="232">
        <f t="shared" ref="I156:I157" si="195">O156*(1+($Q$5/100))</f>
        <v>141.88149499999997</v>
      </c>
      <c r="J156" s="232">
        <f t="shared" si="194"/>
        <v>21.224050999999996</v>
      </c>
      <c r="K156" s="232">
        <f t="shared" si="183"/>
        <v>283.76298999999995</v>
      </c>
      <c r="L156" s="232">
        <f t="shared" si="184"/>
        <v>42.448101999999992</v>
      </c>
      <c r="M156" s="233">
        <f t="shared" si="185"/>
        <v>326.21109199999995</v>
      </c>
      <c r="N156" s="102"/>
      <c r="O156" s="576">
        <v>115.85</v>
      </c>
      <c r="P156" s="576">
        <v>17.329999999999998</v>
      </c>
      <c r="Q156" s="438">
        <f t="shared" si="187"/>
        <v>3.3406526435514388E-4</v>
      </c>
    </row>
    <row r="157" spans="1:17" s="89" customFormat="1" ht="45.75" customHeight="1">
      <c r="A157" s="161"/>
      <c r="B157" s="608" t="s">
        <v>520</v>
      </c>
      <c r="C157" s="271">
        <v>104475</v>
      </c>
      <c r="D157" s="640" t="s">
        <v>422</v>
      </c>
      <c r="E157" s="789"/>
      <c r="F157" s="348" t="s">
        <v>16</v>
      </c>
      <c r="G157" s="762">
        <v>38</v>
      </c>
      <c r="H157" s="773"/>
      <c r="I157" s="232">
        <f t="shared" si="195"/>
        <v>89.29287699999999</v>
      </c>
      <c r="J157" s="232">
        <f t="shared" si="194"/>
        <v>78.356305999999989</v>
      </c>
      <c r="K157" s="232">
        <f t="shared" si="183"/>
        <v>3393.1293259999998</v>
      </c>
      <c r="L157" s="232">
        <f t="shared" si="184"/>
        <v>2977.5396279999995</v>
      </c>
      <c r="M157" s="233">
        <f t="shared" si="185"/>
        <v>6370.6689539999998</v>
      </c>
      <c r="N157" s="162"/>
      <c r="O157" s="576">
        <v>72.91</v>
      </c>
      <c r="P157" s="576">
        <v>63.98</v>
      </c>
      <c r="Q157" s="438">
        <f t="shared" si="187"/>
        <v>6.5240553139655905E-3</v>
      </c>
    </row>
    <row r="158" spans="1:17" s="89" customFormat="1" ht="28.5" customHeight="1">
      <c r="A158" s="101"/>
      <c r="B158" s="242"/>
      <c r="C158" s="282">
        <v>91991</v>
      </c>
      <c r="D158" s="640" t="s">
        <v>423</v>
      </c>
      <c r="E158" s="728"/>
      <c r="F158" s="272" t="s">
        <v>16</v>
      </c>
      <c r="G158" s="786">
        <v>25</v>
      </c>
      <c r="H158" s="643"/>
      <c r="I158" s="232">
        <f t="shared" ref="I158" si="196">O158*(1+($Q$5/100))</f>
        <v>20.660688999999998</v>
      </c>
      <c r="J158" s="232">
        <f t="shared" si="194"/>
        <v>24.677704999999996</v>
      </c>
      <c r="K158" s="232">
        <f t="shared" si="183"/>
        <v>516.51722499999994</v>
      </c>
      <c r="L158" s="232">
        <f t="shared" si="184"/>
        <v>616.94262499999991</v>
      </c>
      <c r="M158" s="233">
        <f t="shared" si="185"/>
        <v>1133.4598499999997</v>
      </c>
      <c r="N158" s="102"/>
      <c r="O158" s="576">
        <v>16.87</v>
      </c>
      <c r="P158" s="576">
        <v>20.149999999999999</v>
      </c>
      <c r="Q158" s="438">
        <f t="shared" si="187"/>
        <v>1.1607501207414237E-3</v>
      </c>
    </row>
    <row r="159" spans="1:17" s="89" customFormat="1" ht="28.5" customHeight="1">
      <c r="A159" s="101"/>
      <c r="B159" s="242"/>
      <c r="C159" s="282">
        <v>92002</v>
      </c>
      <c r="D159" s="640" t="s">
        <v>424</v>
      </c>
      <c r="E159" s="728"/>
      <c r="F159" s="272" t="s">
        <v>16</v>
      </c>
      <c r="G159" s="786">
        <v>11</v>
      </c>
      <c r="H159" s="643"/>
      <c r="I159" s="232">
        <f t="shared" ref="I159" si="197">O159*(1+($Q$5/100))</f>
        <v>29.368305999999997</v>
      </c>
      <c r="J159" s="232">
        <f t="shared" si="194"/>
        <v>27.580243999999997</v>
      </c>
      <c r="K159" s="232">
        <f t="shared" si="183"/>
        <v>323.05136599999997</v>
      </c>
      <c r="L159" s="232">
        <f t="shared" si="184"/>
        <v>303.38268399999998</v>
      </c>
      <c r="M159" s="233">
        <f t="shared" si="185"/>
        <v>626.43404999999996</v>
      </c>
      <c r="N159" s="102"/>
      <c r="O159" s="576">
        <v>23.98</v>
      </c>
      <c r="P159" s="576">
        <v>22.52</v>
      </c>
      <c r="Q159" s="438">
        <f t="shared" si="187"/>
        <v>6.4151667937248878E-4</v>
      </c>
    </row>
    <row r="160" spans="1:17" s="89" customFormat="1" ht="28.5" customHeight="1">
      <c r="A160" s="98"/>
      <c r="B160" s="242"/>
      <c r="C160" s="229">
        <v>91924</v>
      </c>
      <c r="D160" s="694" t="s">
        <v>231</v>
      </c>
      <c r="E160" s="645"/>
      <c r="F160" s="230" t="s">
        <v>41</v>
      </c>
      <c r="G160" s="695">
        <v>55</v>
      </c>
      <c r="H160" s="861"/>
      <c r="I160" s="232">
        <f t="shared" ref="I160" si="198">O160*(1+($Q$5/100))</f>
        <v>2.167719</v>
      </c>
      <c r="J160" s="232">
        <f>P160*(1+($Q$5/100))</f>
        <v>1.1757119999999999</v>
      </c>
      <c r="K160" s="232">
        <f t="shared" ref="K160:K161" si="199">G160*I160</f>
        <v>119.22454499999999</v>
      </c>
      <c r="L160" s="232">
        <f t="shared" ref="L160:L161" si="200">G160*J160</f>
        <v>64.664159999999995</v>
      </c>
      <c r="M160" s="233">
        <f t="shared" ref="M160:M161" si="201">G160*(I160+J160)</f>
        <v>183.88870499999999</v>
      </c>
      <c r="N160" s="99"/>
      <c r="O160" s="576">
        <v>1.77</v>
      </c>
      <c r="P160" s="576">
        <v>0.96</v>
      </c>
      <c r="Q160" s="438">
        <f t="shared" ref="Q160:Q165" si="202">M160/$M$169</f>
        <v>1.8831618652547251E-4</v>
      </c>
    </row>
    <row r="161" spans="1:37" s="89" customFormat="1" ht="28.5" customHeight="1">
      <c r="A161" s="98"/>
      <c r="B161" s="242"/>
      <c r="C161" s="338">
        <v>91926</v>
      </c>
      <c r="D161" s="741" t="s">
        <v>232</v>
      </c>
      <c r="E161" s="704"/>
      <c r="F161" s="339" t="s">
        <v>41</v>
      </c>
      <c r="G161" s="792">
        <v>55</v>
      </c>
      <c r="H161" s="793"/>
      <c r="I161" s="237">
        <f t="shared" ref="I161" si="203">O161*(1+($Q$5/100))</f>
        <v>3.3434309999999998</v>
      </c>
      <c r="J161" s="237">
        <f>P161*(1+($Q$5/100))</f>
        <v>1.4818869999999997</v>
      </c>
      <c r="K161" s="237">
        <f t="shared" si="199"/>
        <v>183.88870499999999</v>
      </c>
      <c r="L161" s="237">
        <f t="shared" si="200"/>
        <v>81.503784999999979</v>
      </c>
      <c r="M161" s="238">
        <f t="shared" si="201"/>
        <v>265.39248999999995</v>
      </c>
      <c r="N161" s="99"/>
      <c r="O161" s="576">
        <v>2.73</v>
      </c>
      <c r="P161" s="576">
        <v>1.21</v>
      </c>
      <c r="Q161" s="438">
        <f t="shared" si="202"/>
        <v>2.7178233513200058E-4</v>
      </c>
    </row>
    <row r="162" spans="1:37" s="89" customFormat="1" ht="28.5" customHeight="1">
      <c r="A162" s="161"/>
      <c r="B162" s="242"/>
      <c r="C162" s="255">
        <v>91930</v>
      </c>
      <c r="D162" s="790" t="s">
        <v>259</v>
      </c>
      <c r="E162" s="790"/>
      <c r="F162" s="256" t="s">
        <v>41</v>
      </c>
      <c r="G162" s="791">
        <v>70</v>
      </c>
      <c r="H162" s="791"/>
      <c r="I162" s="257">
        <f t="shared" ref="I162:I163" si="204">O162*(1+($Q$5/100))</f>
        <v>7.654374999999999</v>
      </c>
      <c r="J162" s="257">
        <f t="shared" ref="J162:J163" si="205">P162*(1+($Q$5/100))</f>
        <v>2.5841169999999996</v>
      </c>
      <c r="K162" s="257">
        <f t="shared" ref="K162:K163" si="206">G162*I162</f>
        <v>535.80624999999998</v>
      </c>
      <c r="L162" s="257">
        <f t="shared" ref="L162:L163" si="207">G162*J162</f>
        <v>180.88818999999998</v>
      </c>
      <c r="M162" s="258">
        <f t="shared" ref="M162:M163" si="208">G162*(I162+J162)</f>
        <v>716.69443999999999</v>
      </c>
      <c r="N162" s="162"/>
      <c r="O162" s="576">
        <v>6.25</v>
      </c>
      <c r="P162" s="576">
        <v>2.11</v>
      </c>
      <c r="Q162" s="438">
        <f t="shared" si="202"/>
        <v>7.3395026543261082E-4</v>
      </c>
    </row>
    <row r="163" spans="1:37" s="89" customFormat="1" ht="29.25" customHeight="1">
      <c r="A163" s="161"/>
      <c r="B163" s="242"/>
      <c r="C163" s="255">
        <v>91932</v>
      </c>
      <c r="D163" s="790" t="s">
        <v>239</v>
      </c>
      <c r="E163" s="790"/>
      <c r="F163" s="256" t="s">
        <v>41</v>
      </c>
      <c r="G163" s="791">
        <v>55</v>
      </c>
      <c r="H163" s="791"/>
      <c r="I163" s="257">
        <f t="shared" si="204"/>
        <v>14.341237</v>
      </c>
      <c r="J163" s="257">
        <f t="shared" si="205"/>
        <v>3.8210639999999998</v>
      </c>
      <c r="K163" s="257">
        <f t="shared" si="206"/>
        <v>788.76803499999994</v>
      </c>
      <c r="L163" s="257">
        <f t="shared" si="207"/>
        <v>210.15851999999998</v>
      </c>
      <c r="M163" s="258">
        <f t="shared" si="208"/>
        <v>998.92655500000001</v>
      </c>
      <c r="N163" s="162"/>
      <c r="O163" s="576">
        <v>11.71</v>
      </c>
      <c r="P163" s="576">
        <v>3.12</v>
      </c>
      <c r="Q163" s="438">
        <f t="shared" si="202"/>
        <v>1.0229776725907537E-3</v>
      </c>
    </row>
    <row r="164" spans="1:37" s="61" customFormat="1" ht="15.75" customHeight="1">
      <c r="A164" s="66"/>
      <c r="B164" s="796" t="s">
        <v>233</v>
      </c>
      <c r="C164" s="797"/>
      <c r="D164" s="785"/>
      <c r="E164" s="785"/>
      <c r="F164" s="785"/>
      <c r="G164" s="785"/>
      <c r="H164" s="785"/>
      <c r="I164" s="785"/>
      <c r="J164" s="785"/>
      <c r="K164" s="95">
        <f>SUM(K144:K163)</f>
        <v>17168.260997999994</v>
      </c>
      <c r="L164" s="95">
        <f>SUM(L144:L163)</f>
        <v>8181.7553139999991</v>
      </c>
      <c r="M164" s="124">
        <f>SUM(M144:M163)</f>
        <v>25350.016312</v>
      </c>
      <c r="N164" s="41"/>
      <c r="O164" s="80"/>
      <c r="P164" s="80"/>
      <c r="Q164" s="443">
        <f t="shared" si="202"/>
        <v>2.5960367713908056E-2</v>
      </c>
    </row>
    <row r="165" spans="1:37" s="61" customFormat="1" ht="15.75" customHeight="1" thickBot="1">
      <c r="A165" s="66"/>
      <c r="B165" s="794" t="s">
        <v>234</v>
      </c>
      <c r="C165" s="795"/>
      <c r="D165" s="675"/>
      <c r="E165" s="675"/>
      <c r="F165" s="675"/>
      <c r="G165" s="675"/>
      <c r="H165" s="675"/>
      <c r="I165" s="675"/>
      <c r="J165" s="676"/>
      <c r="K165" s="125">
        <f>SUM(K122+K142+K164)</f>
        <v>62613.959537899995</v>
      </c>
      <c r="L165" s="125">
        <f>SUM(L122+L142+L164)</f>
        <v>21313.554525399995</v>
      </c>
      <c r="M165" s="126">
        <f>SUM(M122+M142+M164)</f>
        <v>83927.514063299983</v>
      </c>
      <c r="N165" s="41"/>
      <c r="O165" s="81"/>
      <c r="P165" s="81"/>
      <c r="Q165" s="444">
        <f t="shared" si="202"/>
        <v>8.5948233704531321E-2</v>
      </c>
    </row>
    <row r="166" spans="1:37" s="61" customFormat="1" ht="15.75" customHeight="1">
      <c r="A166" s="66"/>
      <c r="B166" s="111">
        <v>8</v>
      </c>
      <c r="C166" s="111"/>
      <c r="D166" s="636" t="s">
        <v>235</v>
      </c>
      <c r="E166" s="637"/>
      <c r="F166" s="112"/>
      <c r="G166" s="877"/>
      <c r="H166" s="637"/>
      <c r="I166" s="113"/>
      <c r="J166" s="113"/>
      <c r="K166" s="113"/>
      <c r="L166" s="113"/>
      <c r="M166" s="114"/>
      <c r="N166" s="41"/>
      <c r="O166" s="55"/>
      <c r="P166" s="55"/>
      <c r="Q166" s="437"/>
    </row>
    <row r="167" spans="1:37" s="61" customFormat="1" ht="31.5" customHeight="1">
      <c r="A167" s="39"/>
      <c r="B167" s="294" t="s">
        <v>334</v>
      </c>
      <c r="C167" s="115">
        <v>99803</v>
      </c>
      <c r="D167" s="862" t="s">
        <v>471</v>
      </c>
      <c r="E167" s="639"/>
      <c r="F167" s="348" t="s">
        <v>14</v>
      </c>
      <c r="G167" s="662">
        <v>458.9</v>
      </c>
      <c r="H167" s="863"/>
      <c r="I167" s="37">
        <f t="shared" ref="I167" si="209">O167*(1+($Q$5/100))</f>
        <v>0.60010299999999994</v>
      </c>
      <c r="J167" s="37">
        <f>P167*(1+($Q$5/100))</f>
        <v>1.922779</v>
      </c>
      <c r="K167" s="37">
        <f>G167*I167</f>
        <v>275.38726669999994</v>
      </c>
      <c r="L167" s="37">
        <f>G167*J167</f>
        <v>882.36328309999999</v>
      </c>
      <c r="M167" s="116">
        <f>G167*(I167+J167)</f>
        <v>1157.7505498</v>
      </c>
      <c r="N167" s="38"/>
      <c r="O167" s="577">
        <v>0.49</v>
      </c>
      <c r="P167" s="577">
        <v>1.57</v>
      </c>
      <c r="Q167" s="437">
        <f t="shared" ref="Q167:Q169" si="210">M167/$M$169</f>
        <v>1.1856256668189881E-3</v>
      </c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</row>
    <row r="168" spans="1:37" s="61" customFormat="1" ht="15.75" customHeight="1" thickBot="1">
      <c r="A168" s="66"/>
      <c r="B168" s="859" t="s">
        <v>236</v>
      </c>
      <c r="C168" s="860"/>
      <c r="D168" s="648"/>
      <c r="E168" s="648"/>
      <c r="F168" s="648"/>
      <c r="G168" s="648"/>
      <c r="H168" s="648"/>
      <c r="I168" s="648"/>
      <c r="J168" s="649"/>
      <c r="K168" s="117">
        <f t="shared" ref="K168:M168" si="211">SUM(K167)</f>
        <v>275.38726669999994</v>
      </c>
      <c r="L168" s="117">
        <f t="shared" si="211"/>
        <v>882.36328309999999</v>
      </c>
      <c r="M168" s="118">
        <f t="shared" si="211"/>
        <v>1157.7505498</v>
      </c>
      <c r="N168" s="41"/>
      <c r="O168" s="81"/>
      <c r="P168" s="81"/>
      <c r="Q168" s="444">
        <f t="shared" si="210"/>
        <v>1.1856256668189881E-3</v>
      </c>
    </row>
    <row r="169" spans="1:37" s="61" customFormat="1" ht="15.75" customHeight="1" thickBot="1">
      <c r="A169" s="66"/>
      <c r="B169" s="881" t="s">
        <v>85</v>
      </c>
      <c r="C169" s="882"/>
      <c r="D169" s="883"/>
      <c r="E169" s="883"/>
      <c r="F169" s="883"/>
      <c r="G169" s="883"/>
      <c r="H169" s="883"/>
      <c r="I169" s="883"/>
      <c r="J169" s="884"/>
      <c r="K169" s="108">
        <f>SUM(K12+K25+K36+K58+K72+K107+K165+K168)</f>
        <v>664572.79899138992</v>
      </c>
      <c r="L169" s="109">
        <f>SUM(L12+L25+L36+L58+L72+L107+L165+L168)</f>
        <v>311916.30899681995</v>
      </c>
      <c r="M169" s="110">
        <f>SUM(M12+M25+M36+M58+M72+M107+M165+M168)</f>
        <v>976489.10798820981</v>
      </c>
      <c r="N169" s="41"/>
      <c r="Q169" s="437">
        <f t="shared" si="210"/>
        <v>1</v>
      </c>
    </row>
    <row r="170" spans="1:37" ht="15.75" customHeight="1">
      <c r="A170" s="1"/>
      <c r="N170" s="16"/>
    </row>
    <row r="171" spans="1:37" ht="15.75" customHeight="1">
      <c r="A171" s="1"/>
      <c r="N171" s="1"/>
    </row>
    <row r="172" spans="1:37" ht="15.75" customHeight="1">
      <c r="A172" s="1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N172" s="1"/>
    </row>
    <row r="173" spans="1:37" ht="15.75" customHeight="1">
      <c r="A173" s="1"/>
      <c r="B173" s="856" t="s">
        <v>110</v>
      </c>
      <c r="C173" s="856"/>
      <c r="D173" s="856"/>
      <c r="E173" s="214"/>
      <c r="F173" s="214"/>
      <c r="G173" s="215"/>
      <c r="H173" s="216"/>
      <c r="I173" s="216"/>
      <c r="J173" s="217"/>
      <c r="K173" s="217"/>
      <c r="N173" s="1"/>
    </row>
    <row r="174" spans="1:37" ht="15.75" customHeight="1">
      <c r="A174" s="1"/>
      <c r="B174" s="852" t="s">
        <v>112</v>
      </c>
      <c r="C174" s="852"/>
      <c r="D174" s="852"/>
      <c r="E174" s="878" t="s">
        <v>474</v>
      </c>
      <c r="F174" s="853"/>
      <c r="G174" s="218"/>
      <c r="H174" s="216"/>
      <c r="I174" s="216"/>
      <c r="J174" s="217"/>
      <c r="K174" s="219"/>
      <c r="N174" s="1"/>
    </row>
    <row r="175" spans="1:37" ht="15.75" customHeight="1">
      <c r="A175" s="1"/>
      <c r="B175" s="852" t="s">
        <v>113</v>
      </c>
      <c r="C175" s="852"/>
      <c r="D175" s="852"/>
      <c r="E175" s="853" t="s">
        <v>114</v>
      </c>
      <c r="F175" s="853"/>
      <c r="G175" s="220"/>
      <c r="H175" s="854"/>
      <c r="I175" s="854"/>
      <c r="J175" s="854"/>
      <c r="K175" s="854"/>
      <c r="N175" s="1"/>
    </row>
    <row r="176" spans="1:37" ht="15.75" customHeight="1">
      <c r="A176" s="1"/>
      <c r="B176" s="852" t="s">
        <v>115</v>
      </c>
      <c r="C176" s="852"/>
      <c r="D176" s="852"/>
      <c r="E176" s="855">
        <v>1.1276999999999999</v>
      </c>
      <c r="F176" s="855"/>
      <c r="G176" s="218"/>
      <c r="H176" s="221"/>
      <c r="I176" s="221"/>
      <c r="J176" s="217"/>
      <c r="K176" s="219"/>
      <c r="N176" s="1"/>
    </row>
    <row r="177" spans="1:14" ht="15.75" customHeight="1">
      <c r="A177" s="1"/>
      <c r="B177" s="852" t="s">
        <v>117</v>
      </c>
      <c r="C177" s="852"/>
      <c r="D177" s="852"/>
      <c r="E177" s="855">
        <v>0.22470000000000001</v>
      </c>
      <c r="F177" s="855"/>
      <c r="G177" s="218"/>
      <c r="H177" s="854"/>
      <c r="I177" s="854"/>
      <c r="J177" s="854"/>
      <c r="K177" s="854"/>
      <c r="N177" s="1"/>
    </row>
    <row r="178" spans="1:14" ht="15.75" customHeight="1">
      <c r="A178" s="1"/>
      <c r="B178" s="852" t="s">
        <v>118</v>
      </c>
      <c r="C178" s="852"/>
      <c r="D178" s="852"/>
      <c r="E178" s="856"/>
      <c r="F178" s="856"/>
      <c r="G178" s="218"/>
      <c r="H178" s="221"/>
      <c r="I178" s="221"/>
      <c r="J178" s="219"/>
      <c r="K178" s="219"/>
      <c r="N178" s="1"/>
    </row>
    <row r="179" spans="1:14" ht="15.75" customHeight="1">
      <c r="A179" s="1"/>
      <c r="B179" s="852" t="s">
        <v>119</v>
      </c>
      <c r="C179" s="852"/>
      <c r="D179" s="852"/>
      <c r="E179" s="858"/>
      <c r="F179" s="858"/>
      <c r="G179" s="858"/>
      <c r="H179" s="858"/>
      <c r="I179" s="221"/>
      <c r="J179" s="219"/>
      <c r="K179" s="219"/>
      <c r="N179" s="1"/>
    </row>
    <row r="180" spans="1:14" ht="15.75" customHeight="1">
      <c r="A180" s="1"/>
      <c r="B180" s="222"/>
      <c r="C180" s="222"/>
      <c r="D180" s="222"/>
      <c r="E180" s="223"/>
      <c r="F180" s="223"/>
      <c r="G180" s="218"/>
      <c r="H180" s="221"/>
      <c r="I180" s="221"/>
      <c r="J180" s="219"/>
      <c r="K180" s="219"/>
      <c r="N180" s="1"/>
    </row>
    <row r="181" spans="1:14" ht="15.75" customHeight="1">
      <c r="A181" s="1"/>
      <c r="B181" s="222"/>
      <c r="C181" s="222"/>
      <c r="D181" s="222"/>
      <c r="E181" s="223"/>
      <c r="F181" s="223"/>
      <c r="G181" s="218"/>
      <c r="H181" s="221"/>
      <c r="I181" s="221"/>
      <c r="J181" s="219"/>
      <c r="K181" s="219"/>
      <c r="N181" s="1"/>
    </row>
    <row r="182" spans="1:14" ht="15.75" customHeight="1">
      <c r="A182" s="1"/>
      <c r="B182" s="300"/>
      <c r="C182" s="300"/>
      <c r="D182" s="300"/>
      <c r="E182" s="857" t="s">
        <v>475</v>
      </c>
      <c r="F182" s="857"/>
      <c r="G182" s="857"/>
      <c r="H182" s="857"/>
      <c r="I182" s="221"/>
      <c r="J182" s="219"/>
      <c r="K182" s="219"/>
      <c r="N182" s="1"/>
    </row>
    <row r="183" spans="1:14" ht="15.75" customHeight="1">
      <c r="A183" s="1"/>
      <c r="B183" s="301"/>
      <c r="C183" s="301"/>
      <c r="D183" s="301"/>
      <c r="E183" s="301"/>
      <c r="F183" s="301"/>
      <c r="G183" s="301"/>
      <c r="H183" s="301"/>
      <c r="I183" s="301"/>
      <c r="J183" s="219"/>
      <c r="K183" s="219"/>
      <c r="N183" s="1"/>
    </row>
    <row r="184" spans="1:14" ht="15.75" customHeight="1">
      <c r="A184" s="1"/>
      <c r="B184" s="851"/>
      <c r="C184" s="851"/>
      <c r="D184" s="851"/>
      <c r="E184" s="851"/>
      <c r="F184" s="851"/>
      <c r="G184" s="851"/>
      <c r="H184" s="851"/>
      <c r="I184" s="851"/>
      <c r="J184" s="219"/>
      <c r="K184" s="219"/>
      <c r="N184" s="1"/>
    </row>
    <row r="185" spans="1:14" ht="15.75" customHeight="1">
      <c r="A185" s="1"/>
      <c r="B185" s="851"/>
      <c r="C185" s="851"/>
      <c r="D185" s="851"/>
      <c r="E185" s="851"/>
      <c r="F185" s="851"/>
      <c r="G185" s="851"/>
      <c r="H185" s="851"/>
      <c r="I185" s="851"/>
      <c r="J185" s="219"/>
      <c r="K185" s="219"/>
      <c r="N185" s="1"/>
    </row>
    <row r="186" spans="1:14" ht="15.75" customHeight="1">
      <c r="A186" s="1"/>
      <c r="N186" s="1"/>
    </row>
    <row r="187" spans="1:14" ht="15.75" customHeight="1">
      <c r="A187" s="1"/>
      <c r="N187" s="1"/>
    </row>
    <row r="188" spans="1:14" ht="15.75" customHeight="1">
      <c r="A188" s="1"/>
      <c r="N188" s="1"/>
    </row>
    <row r="189" spans="1:14" ht="15.75" customHeight="1">
      <c r="A189" s="1"/>
      <c r="N189" s="1"/>
    </row>
    <row r="190" spans="1:14" ht="15.75" customHeight="1">
      <c r="A190" s="1"/>
      <c r="N190" s="1"/>
    </row>
    <row r="191" spans="1:14" ht="15.75" customHeight="1">
      <c r="A191" s="1"/>
      <c r="N191" s="1"/>
    </row>
    <row r="192" spans="1:14" ht="15.75" customHeight="1">
      <c r="A192" s="1"/>
      <c r="N192" s="1"/>
    </row>
    <row r="193" spans="1:14" ht="15.75" customHeight="1">
      <c r="A193" s="1"/>
      <c r="N193" s="1"/>
    </row>
    <row r="194" spans="1:14" ht="15.75" customHeight="1">
      <c r="A194" s="1"/>
      <c r="N194" s="1"/>
    </row>
    <row r="195" spans="1:14" ht="15.75" customHeight="1">
      <c r="A195" s="1"/>
      <c r="N195" s="1"/>
    </row>
    <row r="196" spans="1:14" ht="15.75" customHeight="1">
      <c r="A196" s="1"/>
      <c r="N196" s="1"/>
    </row>
    <row r="197" spans="1:14" ht="15.75" customHeight="1">
      <c r="A197" s="1"/>
      <c r="N197" s="1"/>
    </row>
    <row r="198" spans="1:14" ht="15.75" customHeight="1">
      <c r="A198" s="1"/>
      <c r="N198" s="1"/>
    </row>
    <row r="199" spans="1:14" ht="15.75" customHeight="1">
      <c r="A199" s="1"/>
      <c r="N199" s="1"/>
    </row>
    <row r="200" spans="1:14" ht="15.75" customHeight="1">
      <c r="A200" s="1"/>
      <c r="N200" s="1"/>
    </row>
    <row r="201" spans="1:14" ht="15.75" customHeight="1">
      <c r="A201" s="1"/>
      <c r="N201" s="1"/>
    </row>
    <row r="202" spans="1:14" ht="15.75" customHeight="1">
      <c r="A202" s="1"/>
      <c r="N202" s="1"/>
    </row>
    <row r="203" spans="1:14" ht="15.75" customHeight="1">
      <c r="A203" s="1"/>
      <c r="N203" s="1"/>
    </row>
    <row r="204" spans="1:14" ht="15.75" customHeight="1">
      <c r="A204" s="1"/>
      <c r="N204" s="1"/>
    </row>
    <row r="205" spans="1:14" ht="15.75" customHeight="1">
      <c r="A205" s="1"/>
      <c r="N205" s="1"/>
    </row>
    <row r="206" spans="1:14" ht="15.75" customHeight="1">
      <c r="A206" s="1"/>
      <c r="N206" s="1"/>
    </row>
    <row r="207" spans="1:14" ht="15.75" customHeight="1">
      <c r="A207" s="1"/>
      <c r="N207" s="1"/>
    </row>
    <row r="208" spans="1:14" ht="15.75" customHeight="1">
      <c r="A208" s="1"/>
      <c r="N208" s="1"/>
    </row>
    <row r="209" spans="1:14" ht="15.75" customHeight="1">
      <c r="A209" s="1"/>
      <c r="N209" s="1"/>
    </row>
    <row r="210" spans="1:14" ht="15.75" customHeight="1">
      <c r="A210" s="1"/>
      <c r="N210" s="1"/>
    </row>
    <row r="211" spans="1:14" ht="15.75" customHeight="1">
      <c r="A211" s="1"/>
      <c r="N211" s="1"/>
    </row>
    <row r="212" spans="1:14" ht="15.75" customHeight="1">
      <c r="A212" s="1"/>
      <c r="N212" s="1"/>
    </row>
    <row r="213" spans="1:14" ht="15.75" customHeight="1">
      <c r="A213" s="1"/>
      <c r="N213" s="1"/>
    </row>
    <row r="214" spans="1:14" ht="15.75" customHeight="1">
      <c r="A214" s="1"/>
      <c r="N214" s="1"/>
    </row>
    <row r="215" spans="1:14" ht="15.75" customHeight="1">
      <c r="A215" s="1"/>
      <c r="N215" s="1"/>
    </row>
    <row r="216" spans="1:14" ht="15.75" customHeight="1">
      <c r="A216" s="1"/>
      <c r="N216" s="1"/>
    </row>
    <row r="217" spans="1:14" ht="15.75" customHeight="1">
      <c r="A217" s="1"/>
      <c r="N217" s="1"/>
    </row>
    <row r="218" spans="1:14" ht="15.75" customHeight="1">
      <c r="A218" s="1"/>
      <c r="N218" s="1"/>
    </row>
    <row r="219" spans="1:14" ht="15.75" customHeight="1">
      <c r="A219" s="1"/>
      <c r="N219" s="1"/>
    </row>
    <row r="220" spans="1:14" ht="15.75" customHeight="1">
      <c r="A220" s="1"/>
      <c r="N220" s="1"/>
    </row>
    <row r="221" spans="1:14" ht="15.75" customHeight="1">
      <c r="A221" s="1"/>
      <c r="N221" s="1"/>
    </row>
    <row r="222" spans="1:14" ht="15.75" customHeight="1">
      <c r="A222" s="1"/>
      <c r="N222" s="1"/>
    </row>
    <row r="223" spans="1:14" ht="15.75" customHeight="1">
      <c r="A223" s="1"/>
      <c r="N223" s="1"/>
    </row>
    <row r="224" spans="1:14" ht="15.75" customHeight="1">
      <c r="A224" s="1"/>
      <c r="N224" s="1"/>
    </row>
    <row r="225" spans="1:14" ht="15.75" customHeight="1">
      <c r="A225" s="1"/>
      <c r="N225" s="1"/>
    </row>
    <row r="226" spans="1:14" ht="15.75" customHeight="1">
      <c r="A226" s="1"/>
      <c r="N226" s="1"/>
    </row>
    <row r="227" spans="1:14" ht="15.75" customHeight="1">
      <c r="A227" s="1"/>
      <c r="N227" s="1"/>
    </row>
    <row r="228" spans="1:14" ht="15.75" customHeight="1">
      <c r="A228" s="1"/>
      <c r="N228" s="1"/>
    </row>
    <row r="229" spans="1:14" ht="15.75" customHeight="1">
      <c r="A229" s="1"/>
      <c r="N229" s="1"/>
    </row>
    <row r="230" spans="1:14" ht="15.75" customHeight="1">
      <c r="A230" s="1"/>
      <c r="N230" s="1"/>
    </row>
    <row r="231" spans="1:14" ht="15.75" customHeight="1">
      <c r="A231" s="1"/>
      <c r="N231" s="1"/>
    </row>
    <row r="232" spans="1:14" ht="15.75" customHeight="1">
      <c r="A232" s="1"/>
      <c r="N232" s="1"/>
    </row>
    <row r="233" spans="1:14" ht="15.75" customHeight="1">
      <c r="A233" s="1"/>
      <c r="N233" s="1"/>
    </row>
    <row r="234" spans="1:14" ht="15.75" customHeight="1">
      <c r="A234" s="1"/>
      <c r="N234" s="1"/>
    </row>
    <row r="235" spans="1:14" ht="15.75" customHeight="1">
      <c r="A235" s="1"/>
      <c r="N235" s="1"/>
    </row>
    <row r="236" spans="1:14" ht="15.75" customHeight="1">
      <c r="A236" s="1"/>
      <c r="N236" s="1"/>
    </row>
    <row r="237" spans="1:14" ht="15.75" customHeight="1">
      <c r="A237" s="1"/>
      <c r="N237" s="1"/>
    </row>
    <row r="238" spans="1:14" ht="15.75" customHeight="1">
      <c r="A238" s="1"/>
      <c r="N238" s="1"/>
    </row>
    <row r="239" spans="1:14" ht="15.75" customHeight="1">
      <c r="A239" s="1"/>
      <c r="N239" s="1"/>
    </row>
    <row r="240" spans="1:14" ht="15.75" customHeight="1">
      <c r="A240" s="1"/>
      <c r="N240" s="1"/>
    </row>
    <row r="241" spans="1:14" ht="15.75" customHeight="1">
      <c r="A241" s="1"/>
      <c r="N241" s="1"/>
    </row>
    <row r="242" spans="1:14" ht="15.75" customHeight="1">
      <c r="A242" s="1"/>
      <c r="N242" s="1"/>
    </row>
    <row r="243" spans="1:14" ht="15.75" customHeight="1">
      <c r="A243" s="1"/>
      <c r="N243" s="1"/>
    </row>
    <row r="244" spans="1:14" ht="15.75" customHeight="1">
      <c r="A244" s="1"/>
      <c r="N244" s="1"/>
    </row>
    <row r="245" spans="1:14" ht="15.75" customHeight="1">
      <c r="A245" s="1"/>
      <c r="N245" s="1"/>
    </row>
    <row r="246" spans="1:14" ht="15.75" customHeight="1">
      <c r="A246" s="1"/>
      <c r="N246" s="1"/>
    </row>
    <row r="247" spans="1:14" ht="15.75" customHeight="1">
      <c r="A247" s="1"/>
      <c r="N247" s="1"/>
    </row>
    <row r="248" spans="1:14" ht="15.75" customHeight="1">
      <c r="A248" s="1"/>
      <c r="N248" s="1"/>
    </row>
    <row r="249" spans="1:14" ht="15.75" customHeight="1">
      <c r="A249" s="1"/>
      <c r="N249" s="1"/>
    </row>
    <row r="250" spans="1:14" ht="15.75" customHeight="1">
      <c r="A250" s="1"/>
      <c r="N250" s="1"/>
    </row>
    <row r="251" spans="1:14" ht="15.75" customHeight="1">
      <c r="A251" s="1"/>
      <c r="N251" s="1"/>
    </row>
    <row r="252" spans="1:14" ht="15.75" customHeight="1">
      <c r="A252" s="1"/>
      <c r="N252" s="1"/>
    </row>
    <row r="253" spans="1:14" ht="15.75" customHeight="1">
      <c r="A253" s="1"/>
      <c r="N253" s="1"/>
    </row>
    <row r="254" spans="1:14" ht="15.75" customHeight="1">
      <c r="A254" s="1"/>
      <c r="N254" s="1"/>
    </row>
    <row r="255" spans="1:14" ht="15.75" customHeight="1">
      <c r="A255" s="1"/>
      <c r="N255" s="1"/>
    </row>
    <row r="256" spans="1:14" ht="15.75" customHeight="1">
      <c r="A256" s="1"/>
      <c r="N256" s="1"/>
    </row>
    <row r="257" spans="1:14" ht="15.75" customHeight="1">
      <c r="A257" s="1"/>
      <c r="N257" s="1"/>
    </row>
    <row r="258" spans="1:14" ht="15.75" customHeight="1">
      <c r="A258" s="1"/>
      <c r="N258" s="1"/>
    </row>
    <row r="259" spans="1:14" ht="15.75" customHeight="1">
      <c r="A259" s="1"/>
      <c r="N259" s="1"/>
    </row>
    <row r="260" spans="1:14" ht="15.75" customHeight="1">
      <c r="A260" s="1"/>
      <c r="N260" s="1"/>
    </row>
    <row r="261" spans="1:14" ht="15.75" customHeight="1">
      <c r="A261" s="1"/>
      <c r="N261" s="1"/>
    </row>
    <row r="262" spans="1:14" ht="15.75" customHeight="1">
      <c r="A262" s="1"/>
      <c r="N262" s="1"/>
    </row>
    <row r="263" spans="1:14" ht="15.75" customHeight="1">
      <c r="A263" s="1"/>
      <c r="N263" s="1"/>
    </row>
    <row r="264" spans="1:14" ht="15.75" customHeight="1">
      <c r="A264" s="1"/>
      <c r="N264" s="1"/>
    </row>
    <row r="265" spans="1:14" ht="15.75" customHeight="1">
      <c r="A265" s="1"/>
      <c r="N265" s="1"/>
    </row>
    <row r="266" spans="1:14" ht="15.75" customHeight="1">
      <c r="A266" s="1"/>
      <c r="N266" s="1"/>
    </row>
    <row r="267" spans="1:14" ht="15.75" customHeight="1">
      <c r="A267" s="1"/>
      <c r="N267" s="1"/>
    </row>
    <row r="268" spans="1:14" ht="15.75" customHeight="1">
      <c r="A268" s="1"/>
      <c r="N268" s="1"/>
    </row>
    <row r="269" spans="1:14" ht="15.75" customHeight="1">
      <c r="A269" s="1"/>
      <c r="N269" s="1"/>
    </row>
    <row r="270" spans="1:14" ht="15.75" customHeight="1">
      <c r="A270" s="1"/>
      <c r="N270" s="1"/>
    </row>
    <row r="271" spans="1:14" ht="15.75" customHeight="1">
      <c r="A271" s="1"/>
      <c r="N271" s="1"/>
    </row>
    <row r="272" spans="1:14" ht="15.75" customHeight="1">
      <c r="A272" s="1"/>
      <c r="N272" s="1"/>
    </row>
    <row r="273" spans="1:14" ht="15.75" customHeight="1">
      <c r="A273" s="1"/>
      <c r="N273" s="1"/>
    </row>
    <row r="274" spans="1:14" ht="15.75" customHeight="1">
      <c r="A274" s="1"/>
      <c r="N274" s="1"/>
    </row>
    <row r="275" spans="1:14" ht="15.75" customHeight="1">
      <c r="A275" s="1"/>
      <c r="N275" s="1"/>
    </row>
    <row r="276" spans="1:14" ht="15.75" customHeight="1">
      <c r="A276" s="1"/>
      <c r="N276" s="1"/>
    </row>
    <row r="277" spans="1:14" ht="15.75" customHeight="1">
      <c r="A277" s="1"/>
      <c r="N277" s="1"/>
    </row>
    <row r="278" spans="1:14" ht="15.75" customHeight="1">
      <c r="A278" s="1"/>
      <c r="N278" s="1"/>
    </row>
    <row r="279" spans="1:14" ht="15.75" customHeight="1">
      <c r="A279" s="1"/>
      <c r="N279" s="1"/>
    </row>
    <row r="280" spans="1:14" ht="15.75" customHeight="1">
      <c r="A280" s="1"/>
      <c r="N280" s="1"/>
    </row>
    <row r="281" spans="1:14" ht="15.75" customHeight="1">
      <c r="A281" s="1"/>
      <c r="N281" s="1"/>
    </row>
    <row r="282" spans="1:14" ht="15.75" customHeight="1">
      <c r="A282" s="1"/>
      <c r="N282" s="1"/>
    </row>
    <row r="283" spans="1:14" ht="15.75" customHeight="1">
      <c r="A283" s="1"/>
      <c r="N283" s="1"/>
    </row>
    <row r="284" spans="1:14" ht="15.75" customHeight="1">
      <c r="A284" s="1"/>
      <c r="N284" s="1"/>
    </row>
    <row r="285" spans="1:14" ht="15.75" customHeight="1">
      <c r="A285" s="1"/>
      <c r="N285" s="1"/>
    </row>
    <row r="286" spans="1:14" ht="15.75" customHeight="1">
      <c r="A286" s="1"/>
      <c r="N286" s="1"/>
    </row>
    <row r="287" spans="1:14" ht="15.75" customHeight="1">
      <c r="A287" s="1"/>
      <c r="N287" s="1"/>
    </row>
    <row r="288" spans="1:14" ht="15.75" customHeight="1">
      <c r="A288" s="1"/>
      <c r="N288" s="1"/>
    </row>
    <row r="289" spans="1:14" ht="15.75" customHeight="1">
      <c r="A289" s="1"/>
      <c r="N289" s="1"/>
    </row>
    <row r="290" spans="1:14" ht="15.75" customHeight="1">
      <c r="A290" s="1"/>
      <c r="N290" s="1"/>
    </row>
    <row r="291" spans="1:14" ht="15.75" customHeight="1">
      <c r="A291" s="1"/>
      <c r="N291" s="1"/>
    </row>
    <row r="292" spans="1:14" ht="15.75" customHeight="1">
      <c r="A292" s="1"/>
      <c r="N292" s="1"/>
    </row>
    <row r="293" spans="1:14" ht="15.75" customHeight="1">
      <c r="A293" s="1"/>
      <c r="N293" s="1"/>
    </row>
    <row r="294" spans="1:14" ht="15.75" customHeight="1">
      <c r="A294" s="1"/>
      <c r="N294" s="1"/>
    </row>
    <row r="295" spans="1:14" ht="15.75" customHeight="1">
      <c r="A295" s="1"/>
      <c r="N295" s="1"/>
    </row>
    <row r="296" spans="1:14" ht="15.75" customHeight="1">
      <c r="A296" s="1"/>
      <c r="N296" s="1"/>
    </row>
    <row r="297" spans="1:14" ht="15.75" customHeight="1">
      <c r="A297" s="1"/>
      <c r="N297" s="1"/>
    </row>
    <row r="298" spans="1:14" ht="15.75" customHeight="1">
      <c r="A298" s="1"/>
      <c r="N298" s="1"/>
    </row>
    <row r="299" spans="1:14" ht="15.75" customHeight="1">
      <c r="A299" s="1"/>
      <c r="N299" s="1"/>
    </row>
    <row r="300" spans="1:14" ht="15.75" customHeight="1">
      <c r="A300" s="1"/>
      <c r="N300" s="1"/>
    </row>
    <row r="301" spans="1:14" ht="15.75" customHeight="1">
      <c r="A301" s="1"/>
      <c r="N301" s="1"/>
    </row>
    <row r="302" spans="1:14" ht="15.75" customHeight="1">
      <c r="A302" s="1"/>
      <c r="N302" s="1"/>
    </row>
    <row r="303" spans="1:14" ht="15.75" customHeight="1">
      <c r="A303" s="1"/>
      <c r="N303" s="1"/>
    </row>
    <row r="304" spans="1:14" ht="15.75" customHeight="1">
      <c r="A304" s="1"/>
      <c r="N304" s="1"/>
    </row>
    <row r="305" spans="1:14" ht="15.75" customHeight="1">
      <c r="A305" s="1"/>
      <c r="N305" s="1"/>
    </row>
    <row r="306" spans="1:14" ht="15.75" customHeight="1">
      <c r="A306" s="1"/>
      <c r="N306" s="1"/>
    </row>
    <row r="307" spans="1:14" ht="15.75" customHeight="1">
      <c r="A307" s="1"/>
      <c r="N307" s="1"/>
    </row>
    <row r="308" spans="1:14" ht="15.75" customHeight="1">
      <c r="A308" s="1"/>
      <c r="N308" s="1"/>
    </row>
    <row r="309" spans="1:14" ht="15.75" customHeight="1">
      <c r="A309" s="1"/>
      <c r="N309" s="1"/>
    </row>
    <row r="310" spans="1:14" ht="15.75" customHeight="1">
      <c r="A310" s="1"/>
      <c r="N310" s="1"/>
    </row>
    <row r="311" spans="1:14" ht="15.75" customHeight="1">
      <c r="A311" s="1"/>
      <c r="N311" s="1"/>
    </row>
    <row r="312" spans="1:14" ht="15.75" customHeight="1">
      <c r="A312" s="1"/>
      <c r="N312" s="1"/>
    </row>
    <row r="313" spans="1:14" ht="15.75" customHeight="1">
      <c r="A313" s="1"/>
      <c r="N313" s="1"/>
    </row>
    <row r="314" spans="1:14" ht="15.75" customHeight="1">
      <c r="A314" s="1"/>
      <c r="N314" s="1"/>
    </row>
    <row r="315" spans="1:14" ht="15.75" customHeight="1">
      <c r="A315" s="1"/>
      <c r="N315" s="1"/>
    </row>
    <row r="316" spans="1:14" ht="15.75" customHeight="1">
      <c r="A316" s="1"/>
      <c r="N316" s="1"/>
    </row>
    <row r="317" spans="1:14" ht="15.75" customHeight="1">
      <c r="A317" s="1"/>
      <c r="N317" s="1"/>
    </row>
    <row r="318" spans="1:14" ht="15.75" customHeight="1">
      <c r="A318" s="1"/>
      <c r="N318" s="1"/>
    </row>
    <row r="319" spans="1:14" ht="15.75" customHeight="1">
      <c r="A319" s="1"/>
      <c r="N319" s="1"/>
    </row>
    <row r="320" spans="1:14" ht="15.75" customHeight="1">
      <c r="A320" s="1"/>
      <c r="N320" s="1"/>
    </row>
    <row r="321" spans="1:14" ht="15.75" customHeight="1">
      <c r="A321" s="1"/>
      <c r="N321" s="1"/>
    </row>
    <row r="322" spans="1:14" ht="15.75" customHeight="1">
      <c r="A322" s="1"/>
      <c r="N322" s="1"/>
    </row>
    <row r="323" spans="1:14" ht="15.75" customHeight="1">
      <c r="A323" s="1"/>
      <c r="N323" s="1"/>
    </row>
    <row r="324" spans="1:14" ht="15.75" customHeight="1">
      <c r="A324" s="1"/>
      <c r="N324" s="1"/>
    </row>
    <row r="325" spans="1:14" ht="15.75" customHeight="1">
      <c r="A325" s="1"/>
      <c r="N325" s="1"/>
    </row>
    <row r="326" spans="1:14" ht="15.75" customHeight="1">
      <c r="A326" s="1"/>
      <c r="N326" s="1"/>
    </row>
    <row r="327" spans="1:14" ht="15.75" customHeight="1">
      <c r="A327" s="1"/>
      <c r="N327" s="1"/>
    </row>
    <row r="328" spans="1:14" ht="15.75" customHeight="1">
      <c r="A328" s="1"/>
      <c r="N328" s="1"/>
    </row>
    <row r="329" spans="1:14" ht="15.75" customHeight="1">
      <c r="A329" s="1"/>
      <c r="N329" s="1"/>
    </row>
    <row r="330" spans="1:14" ht="15.75" customHeight="1">
      <c r="A330" s="1"/>
      <c r="N330" s="1"/>
    </row>
    <row r="331" spans="1:14" ht="15.75" customHeight="1">
      <c r="A331" s="1"/>
      <c r="N331" s="1"/>
    </row>
    <row r="332" spans="1:14" ht="15.75" customHeight="1">
      <c r="A332" s="1"/>
      <c r="N332" s="1"/>
    </row>
    <row r="333" spans="1:14" ht="15.75" customHeight="1">
      <c r="A333" s="1"/>
      <c r="N333" s="1"/>
    </row>
    <row r="334" spans="1:14" ht="15.75" customHeight="1">
      <c r="A334" s="1"/>
      <c r="N334" s="1"/>
    </row>
    <row r="335" spans="1:14" ht="15.75" customHeight="1">
      <c r="A335" s="1"/>
      <c r="N335" s="1"/>
    </row>
    <row r="336" spans="1:14" ht="15.75" customHeight="1">
      <c r="A336" s="1"/>
      <c r="N336" s="1"/>
    </row>
    <row r="337" spans="1:14" ht="15.75" customHeight="1">
      <c r="A337" s="1"/>
      <c r="N337" s="1"/>
    </row>
    <row r="338" spans="1:14" ht="15.75" customHeight="1">
      <c r="A338" s="1"/>
      <c r="N338" s="1"/>
    </row>
    <row r="339" spans="1:14" ht="15.75" customHeight="1">
      <c r="A339" s="1"/>
      <c r="N339" s="1"/>
    </row>
    <row r="340" spans="1:14" ht="15.75" customHeight="1">
      <c r="A340" s="1"/>
      <c r="N340" s="1"/>
    </row>
    <row r="341" spans="1:14" ht="15.75" customHeight="1">
      <c r="A341" s="1"/>
      <c r="N341" s="1"/>
    </row>
    <row r="342" spans="1:14" ht="15.75" customHeight="1">
      <c r="A342" s="1"/>
      <c r="N342" s="1"/>
    </row>
    <row r="343" spans="1:14" ht="15.75" customHeight="1">
      <c r="A343" s="1"/>
      <c r="N343" s="1"/>
    </row>
    <row r="344" spans="1:14" ht="15.75" customHeight="1">
      <c r="A344" s="1"/>
      <c r="N344" s="1"/>
    </row>
    <row r="345" spans="1:14" ht="15.75" customHeight="1">
      <c r="A345" s="1"/>
      <c r="N345" s="1"/>
    </row>
    <row r="346" spans="1:14" ht="15.75" customHeight="1">
      <c r="A346" s="1"/>
      <c r="N346" s="1"/>
    </row>
    <row r="347" spans="1:14" ht="15.75" customHeight="1">
      <c r="A347" s="1"/>
      <c r="N347" s="1"/>
    </row>
    <row r="348" spans="1:14" ht="15.75" customHeight="1">
      <c r="A348" s="1"/>
      <c r="N348" s="1"/>
    </row>
    <row r="349" spans="1:14" ht="15.75" customHeight="1">
      <c r="A349" s="1"/>
      <c r="N349" s="1"/>
    </row>
    <row r="350" spans="1:14" ht="15.75" customHeight="1">
      <c r="A350" s="1"/>
      <c r="N350" s="1"/>
    </row>
    <row r="351" spans="1:14" ht="15.75" customHeight="1">
      <c r="A351" s="1"/>
      <c r="N351" s="1"/>
    </row>
    <row r="352" spans="1:14" ht="15.75" customHeight="1">
      <c r="A352" s="1"/>
      <c r="N352" s="1"/>
    </row>
    <row r="353" spans="1:14" ht="15.75" customHeight="1">
      <c r="A353" s="1"/>
      <c r="N353" s="1"/>
    </row>
    <row r="354" spans="1:14" ht="15.75" customHeight="1">
      <c r="A354" s="1"/>
      <c r="N354" s="1"/>
    </row>
    <row r="355" spans="1:14" ht="15.75" customHeight="1">
      <c r="A355" s="1"/>
      <c r="N355" s="1"/>
    </row>
    <row r="356" spans="1:14" ht="15.75" customHeight="1">
      <c r="A356" s="1"/>
      <c r="N356" s="1"/>
    </row>
    <row r="357" spans="1:14" ht="15.75" customHeight="1">
      <c r="A357" s="1"/>
      <c r="N357" s="1"/>
    </row>
    <row r="358" spans="1:14" ht="15.75" customHeight="1">
      <c r="A358" s="1"/>
      <c r="N358" s="1"/>
    </row>
    <row r="359" spans="1:14" ht="15.75" customHeight="1">
      <c r="A359" s="1"/>
      <c r="N359" s="1"/>
    </row>
    <row r="360" spans="1:14" ht="15.75" customHeight="1">
      <c r="A360" s="1"/>
      <c r="N360" s="1"/>
    </row>
    <row r="361" spans="1:14" ht="15.75" customHeight="1">
      <c r="A361" s="1"/>
      <c r="N361" s="1"/>
    </row>
    <row r="362" spans="1:14" ht="15.75" customHeight="1">
      <c r="A362" s="1"/>
      <c r="N362" s="1"/>
    </row>
    <row r="363" spans="1:14" ht="15.75" customHeight="1">
      <c r="A363" s="1"/>
      <c r="N363" s="1"/>
    </row>
    <row r="364" spans="1:14" ht="15.75" customHeight="1">
      <c r="A364" s="1"/>
      <c r="N364" s="1"/>
    </row>
    <row r="365" spans="1:14" ht="15.75" customHeight="1">
      <c r="A365" s="1"/>
      <c r="N365" s="1"/>
    </row>
    <row r="366" spans="1:14" ht="15.75" customHeight="1">
      <c r="A366" s="1"/>
      <c r="N366" s="1"/>
    </row>
    <row r="367" spans="1:14" ht="15.75" customHeight="1">
      <c r="A367" s="1"/>
      <c r="N367" s="1"/>
    </row>
    <row r="368" spans="1:14" ht="15.75" customHeight="1">
      <c r="A368" s="1"/>
      <c r="N368" s="1"/>
    </row>
    <row r="369" spans="1:14" ht="15.75" customHeight="1">
      <c r="A369" s="1"/>
      <c r="N369" s="1"/>
    </row>
    <row r="370" spans="1:14" ht="15.75" customHeight="1"/>
    <row r="371" spans="1:14" ht="15.75" customHeight="1"/>
    <row r="372" spans="1:14" ht="15.75" customHeight="1"/>
    <row r="373" spans="1:14" ht="15.75" customHeight="1"/>
    <row r="374" spans="1:14" ht="15.75" customHeight="1"/>
    <row r="375" spans="1:14" ht="15.75" customHeight="1"/>
    <row r="376" spans="1:14" ht="15.75" customHeight="1"/>
    <row r="377" spans="1:14" ht="15.75" customHeight="1"/>
    <row r="378" spans="1:14" ht="15.75" customHeight="1"/>
    <row r="379" spans="1:14" ht="15.75" customHeight="1"/>
    <row r="380" spans="1:14" ht="15.75" customHeight="1"/>
    <row r="381" spans="1:14" ht="15.75" customHeight="1"/>
    <row r="382" spans="1:14" ht="15.75" customHeight="1"/>
    <row r="383" spans="1:14" ht="15.75" customHeight="1"/>
    <row r="384" spans="1:1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326">
    <mergeCell ref="D34:E34"/>
    <mergeCell ref="G34:H34"/>
    <mergeCell ref="D90:E90"/>
    <mergeCell ref="G90:H90"/>
    <mergeCell ref="D52:E52"/>
    <mergeCell ref="D51:E51"/>
    <mergeCell ref="G51:H51"/>
    <mergeCell ref="G52:H52"/>
    <mergeCell ref="D53:E53"/>
    <mergeCell ref="G53:H53"/>
    <mergeCell ref="D43:E43"/>
    <mergeCell ref="G43:H43"/>
    <mergeCell ref="D49:E49"/>
    <mergeCell ref="G49:H49"/>
    <mergeCell ref="D35:E35"/>
    <mergeCell ref="D41:E41"/>
    <mergeCell ref="D42:E42"/>
    <mergeCell ref="G42:H42"/>
    <mergeCell ref="D47:E47"/>
    <mergeCell ref="B72:J72"/>
    <mergeCell ref="D56:E56"/>
    <mergeCell ref="G56:H56"/>
    <mergeCell ref="D75:E75"/>
    <mergeCell ref="D80:E80"/>
    <mergeCell ref="B173:D173"/>
    <mergeCell ref="B174:D174"/>
    <mergeCell ref="E174:F174"/>
    <mergeCell ref="D147:E147"/>
    <mergeCell ref="D148:E148"/>
    <mergeCell ref="D149:E149"/>
    <mergeCell ref="G15:H15"/>
    <mergeCell ref="B179:D179"/>
    <mergeCell ref="D26:E26"/>
    <mergeCell ref="D30:E30"/>
    <mergeCell ref="D29:E29"/>
    <mergeCell ref="G29:H29"/>
    <mergeCell ref="D32:E32"/>
    <mergeCell ref="D40:E40"/>
    <mergeCell ref="G32:H32"/>
    <mergeCell ref="G27:H27"/>
    <mergeCell ref="G28:H28"/>
    <mergeCell ref="G26:H26"/>
    <mergeCell ref="G24:H24"/>
    <mergeCell ref="D22:E22"/>
    <mergeCell ref="G22:H22"/>
    <mergeCell ref="D21:E21"/>
    <mergeCell ref="B169:J169"/>
    <mergeCell ref="D151:E151"/>
    <mergeCell ref="B168:J168"/>
    <mergeCell ref="D160:E160"/>
    <mergeCell ref="G160:H160"/>
    <mergeCell ref="D167:E167"/>
    <mergeCell ref="D166:E166"/>
    <mergeCell ref="G167:H167"/>
    <mergeCell ref="G112:H112"/>
    <mergeCell ref="D134:E134"/>
    <mergeCell ref="D124:E124"/>
    <mergeCell ref="G130:H130"/>
    <mergeCell ref="B122:J122"/>
    <mergeCell ref="D127:E127"/>
    <mergeCell ref="G116:H116"/>
    <mergeCell ref="G117:H117"/>
    <mergeCell ref="G118:H118"/>
    <mergeCell ref="G119:H119"/>
    <mergeCell ref="D125:E125"/>
    <mergeCell ref="G125:H125"/>
    <mergeCell ref="D120:E120"/>
    <mergeCell ref="G133:H133"/>
    <mergeCell ref="G134:H134"/>
    <mergeCell ref="G129:H129"/>
    <mergeCell ref="D126:E126"/>
    <mergeCell ref="G166:H166"/>
    <mergeCell ref="B185:I185"/>
    <mergeCell ref="B175:D175"/>
    <mergeCell ref="E175:F175"/>
    <mergeCell ref="H175:K175"/>
    <mergeCell ref="B176:D176"/>
    <mergeCell ref="E176:F176"/>
    <mergeCell ref="B177:D177"/>
    <mergeCell ref="E177:F177"/>
    <mergeCell ref="H177:K177"/>
    <mergeCell ref="B178:D178"/>
    <mergeCell ref="E178:F178"/>
    <mergeCell ref="B184:I184"/>
    <mergeCell ref="E182:H182"/>
    <mergeCell ref="E179:H179"/>
    <mergeCell ref="O5:P5"/>
    <mergeCell ref="G69:H69"/>
    <mergeCell ref="G47:H47"/>
    <mergeCell ref="G33:H33"/>
    <mergeCell ref="G30:H30"/>
    <mergeCell ref="G31:H31"/>
    <mergeCell ref="D24:E24"/>
    <mergeCell ref="G55:H55"/>
    <mergeCell ref="D55:E55"/>
    <mergeCell ref="D33:E33"/>
    <mergeCell ref="B36:J36"/>
    <mergeCell ref="D31:E31"/>
    <mergeCell ref="G38:H38"/>
    <mergeCell ref="G46:H46"/>
    <mergeCell ref="B25:J25"/>
    <mergeCell ref="K6:M6"/>
    <mergeCell ref="D23:E23"/>
    <mergeCell ref="G21:H21"/>
    <mergeCell ref="D45:E45"/>
    <mergeCell ref="G23:H23"/>
    <mergeCell ref="G35:H35"/>
    <mergeCell ref="D28:E28"/>
    <mergeCell ref="D27:E27"/>
    <mergeCell ref="G16:H16"/>
    <mergeCell ref="G11:H11"/>
    <mergeCell ref="G13:H13"/>
    <mergeCell ref="B12:J12"/>
    <mergeCell ref="D16:E16"/>
    <mergeCell ref="D14:E14"/>
    <mergeCell ref="G20:H20"/>
    <mergeCell ref="D19:E19"/>
    <mergeCell ref="G19:H19"/>
    <mergeCell ref="D20:E20"/>
    <mergeCell ref="B2:M2"/>
    <mergeCell ref="B4:M4"/>
    <mergeCell ref="B5:M5"/>
    <mergeCell ref="D8:E8"/>
    <mergeCell ref="F6:F7"/>
    <mergeCell ref="D6:E7"/>
    <mergeCell ref="G17:H17"/>
    <mergeCell ref="D18:E18"/>
    <mergeCell ref="G6:H7"/>
    <mergeCell ref="G8:H8"/>
    <mergeCell ref="D11:E11"/>
    <mergeCell ref="D13:E13"/>
    <mergeCell ref="D9:E9"/>
    <mergeCell ref="G9:H9"/>
    <mergeCell ref="D10:E10"/>
    <mergeCell ref="G10:H10"/>
    <mergeCell ref="D17:E17"/>
    <mergeCell ref="G18:H18"/>
    <mergeCell ref="D15:E15"/>
    <mergeCell ref="C6:C7"/>
    <mergeCell ref="B3:M3"/>
    <mergeCell ref="B6:B7"/>
    <mergeCell ref="I6:J6"/>
    <mergeCell ref="G14:H14"/>
    <mergeCell ref="D162:E162"/>
    <mergeCell ref="G162:H162"/>
    <mergeCell ref="D163:E163"/>
    <mergeCell ref="G163:H163"/>
    <mergeCell ref="D161:E161"/>
    <mergeCell ref="G161:H161"/>
    <mergeCell ref="B165:J165"/>
    <mergeCell ref="B164:J164"/>
    <mergeCell ref="D159:E159"/>
    <mergeCell ref="G159:H159"/>
    <mergeCell ref="G158:H158"/>
    <mergeCell ref="D156:E156"/>
    <mergeCell ref="D150:E150"/>
    <mergeCell ref="D158:E158"/>
    <mergeCell ref="D155:E155"/>
    <mergeCell ref="G148:H148"/>
    <mergeCell ref="G151:H151"/>
    <mergeCell ref="D152:E152"/>
    <mergeCell ref="D153:E153"/>
    <mergeCell ref="G152:H152"/>
    <mergeCell ref="G156:H156"/>
    <mergeCell ref="G155:H155"/>
    <mergeCell ref="D157:E157"/>
    <mergeCell ref="D154:E154"/>
    <mergeCell ref="G154:H154"/>
    <mergeCell ref="G157:H157"/>
    <mergeCell ref="G153:H153"/>
    <mergeCell ref="G149:H149"/>
    <mergeCell ref="G150:H150"/>
    <mergeCell ref="G147:H147"/>
    <mergeCell ref="G126:H126"/>
    <mergeCell ref="G113:H113"/>
    <mergeCell ref="D116:E116"/>
    <mergeCell ref="D118:E118"/>
    <mergeCell ref="D119:E119"/>
    <mergeCell ref="G132:H132"/>
    <mergeCell ref="G131:H131"/>
    <mergeCell ref="G127:H127"/>
    <mergeCell ref="D132:E132"/>
    <mergeCell ref="G114:H114"/>
    <mergeCell ref="D133:E133"/>
    <mergeCell ref="D130:E130"/>
    <mergeCell ref="G120:H120"/>
    <mergeCell ref="D131:E131"/>
    <mergeCell ref="G137:H137"/>
    <mergeCell ref="G123:H123"/>
    <mergeCell ref="G124:H124"/>
    <mergeCell ref="D139:E139"/>
    <mergeCell ref="G138:H138"/>
    <mergeCell ref="D138:E138"/>
    <mergeCell ref="D140:E140"/>
    <mergeCell ref="D143:E143"/>
    <mergeCell ref="B141:J141"/>
    <mergeCell ref="D146:E146"/>
    <mergeCell ref="G146:H146"/>
    <mergeCell ref="D144:E144"/>
    <mergeCell ref="G144:H144"/>
    <mergeCell ref="D123:E123"/>
    <mergeCell ref="D137:E137"/>
    <mergeCell ref="B142:J142"/>
    <mergeCell ref="G140:H140"/>
    <mergeCell ref="G139:H139"/>
    <mergeCell ref="G143:H143"/>
    <mergeCell ref="D136:E136"/>
    <mergeCell ref="G136:H136"/>
    <mergeCell ref="G135:H135"/>
    <mergeCell ref="D135:E135"/>
    <mergeCell ref="D145:E145"/>
    <mergeCell ref="D129:E129"/>
    <mergeCell ref="D114:E114"/>
    <mergeCell ref="D115:E115"/>
    <mergeCell ref="G115:H115"/>
    <mergeCell ref="G109:H109"/>
    <mergeCell ref="D112:E112"/>
    <mergeCell ref="D104:E104"/>
    <mergeCell ref="G104:H104"/>
    <mergeCell ref="D111:E111"/>
    <mergeCell ref="G111:H111"/>
    <mergeCell ref="B106:J106"/>
    <mergeCell ref="D110:E110"/>
    <mergeCell ref="D121:E121"/>
    <mergeCell ref="G121:H121"/>
    <mergeCell ref="G110:H110"/>
    <mergeCell ref="D48:E48"/>
    <mergeCell ref="D50:E50"/>
    <mergeCell ref="G50:H50"/>
    <mergeCell ref="G48:H48"/>
    <mergeCell ref="D54:E54"/>
    <mergeCell ref="D60:E60"/>
    <mergeCell ref="D117:E117"/>
    <mergeCell ref="D113:E113"/>
    <mergeCell ref="B128:J128"/>
    <mergeCell ref="D103:E103"/>
    <mergeCell ref="G100:H100"/>
    <mergeCell ref="G96:H96"/>
    <mergeCell ref="G85:H85"/>
    <mergeCell ref="D93:E93"/>
    <mergeCell ref="G37:H37"/>
    <mergeCell ref="D38:E38"/>
    <mergeCell ref="D37:E37"/>
    <mergeCell ref="G41:H41"/>
    <mergeCell ref="G40:H40"/>
    <mergeCell ref="G39:H39"/>
    <mergeCell ref="D39:E39"/>
    <mergeCell ref="D46:E46"/>
    <mergeCell ref="B44:J44"/>
    <mergeCell ref="G45:H45"/>
    <mergeCell ref="D73:E73"/>
    <mergeCell ref="G62:H62"/>
    <mergeCell ref="D68:E68"/>
    <mergeCell ref="D61:E61"/>
    <mergeCell ref="D74:E74"/>
    <mergeCell ref="D79:E79"/>
    <mergeCell ref="D76:E76"/>
    <mergeCell ref="D77:E77"/>
    <mergeCell ref="G87:H87"/>
    <mergeCell ref="G86:H86"/>
    <mergeCell ref="B67:J67"/>
    <mergeCell ref="G61:H61"/>
    <mergeCell ref="D87:E87"/>
    <mergeCell ref="G84:H84"/>
    <mergeCell ref="G54:H54"/>
    <mergeCell ref="G59:H59"/>
    <mergeCell ref="B58:J58"/>
    <mergeCell ref="B71:J71"/>
    <mergeCell ref="D69:E69"/>
    <mergeCell ref="G63:H63"/>
    <mergeCell ref="G64:H64"/>
    <mergeCell ref="G65:H65"/>
    <mergeCell ref="D70:E70"/>
    <mergeCell ref="G70:H70"/>
    <mergeCell ref="G66:H66"/>
    <mergeCell ref="D66:E66"/>
    <mergeCell ref="D59:E59"/>
    <mergeCell ref="D63:E63"/>
    <mergeCell ref="D64:E64"/>
    <mergeCell ref="D65:E65"/>
    <mergeCell ref="D62:E62"/>
    <mergeCell ref="B57:J57"/>
    <mergeCell ref="G74:H74"/>
    <mergeCell ref="G77:H77"/>
    <mergeCell ref="G81:H81"/>
    <mergeCell ref="G80:H80"/>
    <mergeCell ref="G79:H79"/>
    <mergeCell ref="G75:H75"/>
    <mergeCell ref="G76:H76"/>
    <mergeCell ref="B78:J78"/>
    <mergeCell ref="D89:E89"/>
    <mergeCell ref="G89:H89"/>
    <mergeCell ref="D88:E88"/>
    <mergeCell ref="D86:E86"/>
    <mergeCell ref="G88:H88"/>
    <mergeCell ref="B82:J82"/>
    <mergeCell ref="D85:E85"/>
    <mergeCell ref="D81:E81"/>
    <mergeCell ref="D84:E84"/>
    <mergeCell ref="D83:E83"/>
    <mergeCell ref="G83:H83"/>
    <mergeCell ref="G101:H101"/>
    <mergeCell ref="D98:E98"/>
    <mergeCell ref="D100:E100"/>
    <mergeCell ref="G99:H99"/>
    <mergeCell ref="G103:H103"/>
    <mergeCell ref="D99:E99"/>
    <mergeCell ref="D96:E96"/>
    <mergeCell ref="G92:H92"/>
    <mergeCell ref="B91:J91"/>
    <mergeCell ref="D94:E94"/>
    <mergeCell ref="D92:E92"/>
    <mergeCell ref="G94:H94"/>
    <mergeCell ref="G93:H93"/>
    <mergeCell ref="D108:E108"/>
    <mergeCell ref="D109:E109"/>
    <mergeCell ref="D105:E105"/>
    <mergeCell ref="G102:H102"/>
    <mergeCell ref="D101:E101"/>
    <mergeCell ref="B95:J95"/>
    <mergeCell ref="B107:J107"/>
    <mergeCell ref="G97:H97"/>
    <mergeCell ref="G98:H98"/>
    <mergeCell ref="G105:H105"/>
    <mergeCell ref="D102:E102"/>
    <mergeCell ref="D97:E97"/>
  </mergeCells>
  <pageMargins left="0.51181102362204722" right="0.51181102362204722" top="0.78740157480314965" bottom="0.78740157480314965" header="0" footer="0"/>
  <pageSetup paperSize="9" scale="60" firstPageNumber="2" fitToHeight="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workbookViewId="0">
      <selection activeCell="F7" sqref="F7"/>
    </sheetView>
  </sheetViews>
  <sheetFormatPr defaultColWidth="12.625" defaultRowHeight="15" customHeight="1"/>
  <cols>
    <col min="1" max="5" width="7.625" customWidth="1"/>
    <col min="6" max="6" width="9.25" customWidth="1"/>
    <col min="7" max="18" width="7.625" customWidth="1"/>
  </cols>
  <sheetData>
    <row r="1" spans="1:8">
      <c r="A1" s="910" t="s">
        <v>0</v>
      </c>
      <c r="B1" s="903"/>
      <c r="C1" s="903"/>
      <c r="D1" s="903"/>
      <c r="E1" s="903"/>
      <c r="F1" s="904"/>
    </row>
    <row r="2" spans="1:8">
      <c r="A2" s="910" t="s">
        <v>1</v>
      </c>
      <c r="B2" s="903"/>
      <c r="C2" s="903"/>
      <c r="D2" s="903"/>
      <c r="E2" s="903"/>
      <c r="F2" s="904"/>
    </row>
    <row r="3" spans="1:8">
      <c r="A3" s="912" t="s">
        <v>2</v>
      </c>
      <c r="B3" s="903"/>
      <c r="C3" s="903"/>
      <c r="D3" s="903"/>
      <c r="E3" s="904"/>
      <c r="F3" s="2">
        <v>199.99</v>
      </c>
      <c r="H3" s="4" t="s">
        <v>3</v>
      </c>
    </row>
    <row r="4" spans="1:8">
      <c r="A4" s="5" t="s">
        <v>5</v>
      </c>
      <c r="B4" s="6"/>
      <c r="C4" s="6"/>
      <c r="D4" s="6"/>
      <c r="E4" s="8"/>
      <c r="F4" s="2">
        <v>111.51</v>
      </c>
      <c r="H4" s="4" t="s">
        <v>6</v>
      </c>
    </row>
    <row r="5" spans="1:8">
      <c r="A5" s="915" t="s">
        <v>8</v>
      </c>
      <c r="B5" s="903"/>
      <c r="C5" s="903"/>
      <c r="D5" s="903"/>
      <c r="E5" s="904"/>
      <c r="F5" s="2">
        <v>185.31</v>
      </c>
      <c r="H5" s="4" t="s">
        <v>9</v>
      </c>
    </row>
    <row r="6" spans="1:8">
      <c r="A6" s="11" t="s">
        <v>11</v>
      </c>
      <c r="B6" s="12"/>
      <c r="C6" s="12"/>
      <c r="D6" s="12"/>
      <c r="E6" s="13"/>
      <c r="F6" s="2">
        <v>104.9</v>
      </c>
      <c r="H6" s="4" t="s">
        <v>15</v>
      </c>
    </row>
    <row r="7" spans="1:8">
      <c r="F7" s="10">
        <f>(SUM(F3:F6))/4</f>
        <v>150.42750000000001</v>
      </c>
    </row>
    <row r="12" spans="1:8" ht="12.75" customHeight="1">
      <c r="A12" s="910" t="s">
        <v>0</v>
      </c>
      <c r="B12" s="903"/>
      <c r="C12" s="903"/>
      <c r="D12" s="903"/>
      <c r="E12" s="903"/>
      <c r="F12" s="904"/>
    </row>
    <row r="13" spans="1:8">
      <c r="A13" s="912" t="s">
        <v>19</v>
      </c>
      <c r="B13" s="903"/>
      <c r="C13" s="903"/>
      <c r="D13" s="903"/>
      <c r="E13" s="903"/>
      <c r="F13" s="904"/>
    </row>
    <row r="14" spans="1:8">
      <c r="A14" s="912" t="s">
        <v>20</v>
      </c>
      <c r="B14" s="903"/>
      <c r="C14" s="903"/>
      <c r="D14" s="903"/>
      <c r="E14" s="904"/>
      <c r="F14" s="2">
        <v>246.43</v>
      </c>
      <c r="H14" s="4" t="s">
        <v>21</v>
      </c>
    </row>
    <row r="15" spans="1:8">
      <c r="A15" s="14" t="s">
        <v>23</v>
      </c>
      <c r="B15" s="12"/>
      <c r="C15" s="12"/>
      <c r="D15" s="12"/>
      <c r="E15" s="13"/>
      <c r="F15" s="2">
        <v>202</v>
      </c>
      <c r="H15" s="4" t="s">
        <v>24</v>
      </c>
    </row>
    <row r="16" spans="1:8">
      <c r="A16" s="15" t="s">
        <v>25</v>
      </c>
      <c r="B16" s="12"/>
      <c r="C16" s="12"/>
      <c r="D16" s="12"/>
      <c r="E16" s="13"/>
      <c r="F16" s="2">
        <v>150.30000000000001</v>
      </c>
      <c r="H16" s="4" t="s">
        <v>28</v>
      </c>
    </row>
    <row r="17" spans="1:18">
      <c r="A17" s="14" t="s">
        <v>32</v>
      </c>
      <c r="B17" s="12"/>
      <c r="C17" s="12"/>
      <c r="D17" s="12"/>
      <c r="E17" s="13"/>
      <c r="F17" s="2">
        <v>208.04</v>
      </c>
      <c r="H17" s="4" t="s">
        <v>33</v>
      </c>
    </row>
    <row r="18" spans="1:18">
      <c r="F18" s="10">
        <f>(F14+F15+F16+F17)/4</f>
        <v>201.6925</v>
      </c>
    </row>
    <row r="21" spans="1:18" ht="15.75" customHeight="1"/>
    <row r="22" spans="1:18" ht="15.75" customHeight="1">
      <c r="A22" s="905" t="s">
        <v>37</v>
      </c>
      <c r="B22" s="906"/>
      <c r="C22" s="906"/>
      <c r="D22" s="906"/>
      <c r="E22" s="906"/>
      <c r="F22" s="907"/>
    </row>
    <row r="23" spans="1:18" ht="15.75" customHeight="1">
      <c r="A23" s="908"/>
      <c r="B23" s="903"/>
      <c r="C23" s="903"/>
      <c r="D23" s="903"/>
      <c r="E23" s="903"/>
      <c r="F23" s="909"/>
    </row>
    <row r="24" spans="1:18" ht="15.75" customHeight="1">
      <c r="A24" s="902" t="s">
        <v>39</v>
      </c>
      <c r="B24" s="903"/>
      <c r="C24" s="903"/>
      <c r="D24" s="903"/>
      <c r="E24" s="904"/>
      <c r="F24" s="17">
        <v>185.9</v>
      </c>
      <c r="H24" s="913" t="s">
        <v>40</v>
      </c>
      <c r="I24" s="804"/>
      <c r="J24" s="804"/>
      <c r="K24" s="804"/>
      <c r="L24" s="804"/>
      <c r="M24" s="804"/>
      <c r="N24" s="804"/>
      <c r="O24" s="804"/>
      <c r="P24" s="804"/>
      <c r="Q24" s="804"/>
    </row>
    <row r="25" spans="1:18" ht="15.75" customHeight="1">
      <c r="A25" s="902" t="s">
        <v>42</v>
      </c>
      <c r="B25" s="903"/>
      <c r="C25" s="903"/>
      <c r="D25" s="903"/>
      <c r="E25" s="904"/>
      <c r="F25" s="17">
        <v>149.31</v>
      </c>
      <c r="H25" s="914" t="s">
        <v>43</v>
      </c>
      <c r="I25" s="804"/>
      <c r="J25" s="804"/>
      <c r="K25" s="804"/>
      <c r="L25" s="804"/>
      <c r="M25" s="804"/>
      <c r="N25" s="804"/>
      <c r="O25" s="804"/>
      <c r="P25" s="804"/>
      <c r="Q25" s="804"/>
      <c r="R25" s="18"/>
    </row>
    <row r="26" spans="1:18" ht="15.75" customHeight="1">
      <c r="A26" s="902" t="s">
        <v>44</v>
      </c>
      <c r="B26" s="903"/>
      <c r="C26" s="903"/>
      <c r="D26" s="903"/>
      <c r="E26" s="904"/>
      <c r="F26" s="17">
        <v>174.9</v>
      </c>
      <c r="H26" s="914" t="s">
        <v>45</v>
      </c>
      <c r="I26" s="804"/>
      <c r="J26" s="804"/>
      <c r="K26" s="804"/>
      <c r="L26" s="804"/>
      <c r="M26" s="804"/>
      <c r="N26" s="804"/>
      <c r="O26" s="804"/>
      <c r="P26" s="804"/>
      <c r="Q26" s="804"/>
    </row>
    <row r="27" spans="1:18" ht="15.75" customHeight="1">
      <c r="A27" s="902" t="s">
        <v>46</v>
      </c>
      <c r="B27" s="903"/>
      <c r="C27" s="903"/>
      <c r="D27" s="903"/>
      <c r="E27" s="904"/>
      <c r="F27" s="17">
        <v>143.99</v>
      </c>
      <c r="H27" s="911" t="s">
        <v>47</v>
      </c>
      <c r="I27" s="804"/>
      <c r="J27" s="804"/>
      <c r="K27" s="804"/>
      <c r="L27" s="804"/>
      <c r="M27" s="804"/>
      <c r="N27" s="804"/>
      <c r="O27" s="804"/>
      <c r="P27" s="804"/>
      <c r="Q27" s="804"/>
    </row>
    <row r="28" spans="1:18" ht="15.75" customHeight="1">
      <c r="A28" s="899" t="s">
        <v>48</v>
      </c>
      <c r="B28" s="900"/>
      <c r="C28" s="900"/>
      <c r="D28" s="900"/>
      <c r="E28" s="901"/>
      <c r="F28" s="19">
        <f>SUM(F24:F27)/4</f>
        <v>163.52500000000001</v>
      </c>
    </row>
    <row r="29" spans="1:18" ht="15.75" customHeight="1"/>
    <row r="30" spans="1:18" ht="15.75" customHeight="1"/>
    <row r="31" spans="1:18" ht="15.75" customHeight="1">
      <c r="A31" s="905" t="s">
        <v>50</v>
      </c>
      <c r="B31" s="906"/>
      <c r="C31" s="906"/>
      <c r="D31" s="906"/>
      <c r="E31" s="906"/>
      <c r="F31" s="907"/>
    </row>
    <row r="32" spans="1:18" ht="15.75" customHeight="1">
      <c r="A32" s="908"/>
      <c r="B32" s="903"/>
      <c r="C32" s="903"/>
      <c r="D32" s="903"/>
      <c r="E32" s="903"/>
      <c r="F32" s="909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ht="15.75" customHeight="1">
      <c r="A33" s="902" t="s">
        <v>51</v>
      </c>
      <c r="B33" s="903"/>
      <c r="C33" s="903"/>
      <c r="D33" s="903"/>
      <c r="E33" s="904"/>
      <c r="F33" s="17">
        <v>51.9</v>
      </c>
      <c r="H33" s="897" t="s">
        <v>53</v>
      </c>
      <c r="I33" s="804"/>
      <c r="J33" s="804"/>
      <c r="K33" s="804"/>
      <c r="L33" s="804"/>
      <c r="M33" s="804"/>
      <c r="N33" s="804"/>
      <c r="O33" s="804"/>
      <c r="P33" s="804"/>
      <c r="Q33" s="804"/>
    </row>
    <row r="34" spans="1:17" ht="15.75" customHeight="1">
      <c r="A34" s="902" t="s">
        <v>54</v>
      </c>
      <c r="B34" s="903"/>
      <c r="C34" s="903"/>
      <c r="D34" s="903"/>
      <c r="E34" s="904"/>
      <c r="F34" s="17">
        <v>33.5</v>
      </c>
      <c r="H34" s="897" t="s">
        <v>55</v>
      </c>
      <c r="I34" s="804"/>
      <c r="J34" s="804"/>
      <c r="K34" s="804"/>
      <c r="L34" s="804"/>
      <c r="M34" s="804"/>
      <c r="N34" s="804"/>
      <c r="O34" s="804"/>
      <c r="P34" s="804"/>
      <c r="Q34" s="804"/>
    </row>
    <row r="35" spans="1:17" ht="15.75" customHeight="1">
      <c r="A35" s="902" t="s">
        <v>56</v>
      </c>
      <c r="B35" s="903"/>
      <c r="C35" s="903"/>
      <c r="D35" s="903"/>
      <c r="E35" s="904"/>
      <c r="F35" s="17">
        <v>44.26</v>
      </c>
      <c r="H35" s="897" t="s">
        <v>57</v>
      </c>
      <c r="I35" s="804"/>
      <c r="J35" s="804"/>
      <c r="K35" s="804"/>
      <c r="L35" s="804"/>
      <c r="M35" s="804"/>
      <c r="N35" s="804"/>
      <c r="O35" s="804"/>
      <c r="P35" s="804"/>
      <c r="Q35" s="804"/>
    </row>
    <row r="36" spans="1:17" ht="15.75" customHeight="1">
      <c r="A36" s="902" t="s">
        <v>58</v>
      </c>
      <c r="B36" s="903"/>
      <c r="C36" s="903"/>
      <c r="D36" s="903"/>
      <c r="E36" s="904"/>
      <c r="F36" s="17">
        <v>65.55</v>
      </c>
      <c r="H36" s="897" t="s">
        <v>59</v>
      </c>
      <c r="I36" s="804"/>
      <c r="J36" s="804"/>
      <c r="K36" s="804"/>
      <c r="L36" s="804"/>
      <c r="M36" s="804"/>
      <c r="N36" s="804"/>
      <c r="O36" s="804"/>
      <c r="P36" s="804"/>
      <c r="Q36" s="804"/>
    </row>
    <row r="37" spans="1:17" ht="15.75" customHeight="1">
      <c r="A37" s="899" t="s">
        <v>48</v>
      </c>
      <c r="B37" s="900"/>
      <c r="C37" s="900"/>
      <c r="D37" s="900"/>
      <c r="E37" s="901"/>
      <c r="F37" s="19">
        <f>SUM(F33:F36)/4</f>
        <v>48.802499999999995</v>
      </c>
    </row>
    <row r="38" spans="1:17" ht="15.75" customHeight="1"/>
    <row r="39" spans="1:17" ht="15.75" customHeight="1"/>
    <row r="40" spans="1:17" ht="15.75" customHeight="1"/>
    <row r="41" spans="1:17" ht="15.75" customHeight="1">
      <c r="A41" s="905" t="s">
        <v>60</v>
      </c>
      <c r="B41" s="906"/>
      <c r="C41" s="906"/>
      <c r="D41" s="906"/>
      <c r="E41" s="906"/>
      <c r="F41" s="907"/>
    </row>
    <row r="42" spans="1:17" ht="15.75" customHeight="1">
      <c r="A42" s="908"/>
      <c r="B42" s="903"/>
      <c r="C42" s="903"/>
      <c r="D42" s="903"/>
      <c r="E42" s="903"/>
      <c r="F42" s="909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7" ht="15.75" customHeight="1">
      <c r="A43" s="902" t="s">
        <v>61</v>
      </c>
      <c r="B43" s="903"/>
      <c r="C43" s="903"/>
      <c r="D43" s="903"/>
      <c r="E43" s="904"/>
      <c r="F43" s="17">
        <v>409.9</v>
      </c>
      <c r="H43" s="897" t="s">
        <v>62</v>
      </c>
      <c r="I43" s="804"/>
      <c r="J43" s="804"/>
      <c r="K43" s="804"/>
      <c r="L43" s="804"/>
      <c r="M43" s="804"/>
      <c r="N43" s="804"/>
      <c r="O43" s="804"/>
      <c r="P43" s="804"/>
      <c r="Q43" s="804"/>
    </row>
    <row r="44" spans="1:17" ht="15.75" customHeight="1">
      <c r="A44" s="902" t="s">
        <v>64</v>
      </c>
      <c r="B44" s="903"/>
      <c r="C44" s="903"/>
      <c r="D44" s="903"/>
      <c r="E44" s="904"/>
      <c r="F44" s="17">
        <v>245.99</v>
      </c>
      <c r="H44" s="897" t="s">
        <v>65</v>
      </c>
      <c r="I44" s="804"/>
      <c r="J44" s="804"/>
      <c r="K44" s="804"/>
      <c r="L44" s="804"/>
      <c r="M44" s="804"/>
      <c r="N44" s="804"/>
      <c r="O44" s="804"/>
      <c r="P44" s="804"/>
      <c r="Q44" s="804"/>
    </row>
    <row r="45" spans="1:17" ht="15.75" customHeight="1">
      <c r="A45" s="902" t="s">
        <v>66</v>
      </c>
      <c r="B45" s="903"/>
      <c r="C45" s="903"/>
      <c r="D45" s="903"/>
      <c r="E45" s="904"/>
      <c r="F45" s="17">
        <v>539.49</v>
      </c>
      <c r="H45" s="898" t="s">
        <v>67</v>
      </c>
      <c r="I45" s="804"/>
      <c r="J45" s="804"/>
      <c r="K45" s="804"/>
      <c r="L45" s="804"/>
      <c r="M45" s="804"/>
      <c r="N45" s="804"/>
      <c r="O45" s="804"/>
      <c r="P45" s="804"/>
      <c r="Q45" s="804"/>
    </row>
    <row r="46" spans="1:17" ht="15.75" customHeight="1">
      <c r="A46" s="902" t="s">
        <v>68</v>
      </c>
      <c r="B46" s="903"/>
      <c r="C46" s="903"/>
      <c r="D46" s="903"/>
      <c r="E46" s="904"/>
      <c r="F46" s="17">
        <v>392.49</v>
      </c>
      <c r="H46" s="897" t="s">
        <v>69</v>
      </c>
      <c r="I46" s="804"/>
      <c r="J46" s="804"/>
      <c r="K46" s="804"/>
      <c r="L46" s="804"/>
      <c r="M46" s="804"/>
      <c r="N46" s="804"/>
      <c r="O46" s="804"/>
      <c r="P46" s="804"/>
      <c r="Q46" s="804"/>
    </row>
    <row r="47" spans="1:17" ht="15.75" customHeight="1">
      <c r="A47" s="899" t="s">
        <v>48</v>
      </c>
      <c r="B47" s="900"/>
      <c r="C47" s="900"/>
      <c r="D47" s="900"/>
      <c r="E47" s="901"/>
      <c r="F47" s="19">
        <f>SUM(F43:F46)/4</f>
        <v>396.96750000000003</v>
      </c>
    </row>
    <row r="48" spans="1:17" ht="15.75" customHeight="1"/>
    <row r="49" spans="1:17" ht="15.75" customHeight="1"/>
    <row r="50" spans="1:17" ht="15.75" customHeight="1"/>
    <row r="51" spans="1:17" ht="15.75" customHeight="1">
      <c r="A51" s="905" t="s">
        <v>70</v>
      </c>
      <c r="B51" s="906"/>
      <c r="C51" s="906"/>
      <c r="D51" s="906"/>
      <c r="E51" s="906"/>
      <c r="F51" s="907"/>
    </row>
    <row r="52" spans="1:17" ht="15.75" customHeight="1">
      <c r="A52" s="908"/>
      <c r="B52" s="903"/>
      <c r="C52" s="903"/>
      <c r="D52" s="903"/>
      <c r="E52" s="903"/>
      <c r="F52" s="909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.75" customHeight="1">
      <c r="A53" s="902" t="s">
        <v>71</v>
      </c>
      <c r="B53" s="903"/>
      <c r="C53" s="903"/>
      <c r="D53" s="903"/>
      <c r="E53" s="904"/>
      <c r="F53" s="17">
        <v>161.9</v>
      </c>
      <c r="H53" s="897" t="s">
        <v>72</v>
      </c>
      <c r="I53" s="804"/>
      <c r="J53" s="804"/>
      <c r="K53" s="804"/>
      <c r="L53" s="804"/>
      <c r="M53" s="804"/>
      <c r="N53" s="804"/>
      <c r="O53" s="804"/>
      <c r="P53" s="804"/>
      <c r="Q53" s="804"/>
    </row>
    <row r="54" spans="1:17" ht="15.75" customHeight="1">
      <c r="A54" s="902" t="s">
        <v>73</v>
      </c>
      <c r="B54" s="903"/>
      <c r="C54" s="903"/>
      <c r="D54" s="903"/>
      <c r="E54" s="904"/>
      <c r="F54" s="17">
        <v>114.9</v>
      </c>
      <c r="H54" s="898" t="s">
        <v>71</v>
      </c>
      <c r="I54" s="804"/>
      <c r="J54" s="804"/>
      <c r="K54" s="804"/>
      <c r="L54" s="804"/>
      <c r="M54" s="804"/>
      <c r="N54" s="804"/>
      <c r="O54" s="804"/>
      <c r="P54" s="804"/>
      <c r="Q54" s="804"/>
    </row>
    <row r="55" spans="1:17" ht="15.75" customHeight="1">
      <c r="A55" s="902" t="s">
        <v>74</v>
      </c>
      <c r="B55" s="903"/>
      <c r="C55" s="903"/>
      <c r="D55" s="903"/>
      <c r="E55" s="904"/>
      <c r="F55" s="17">
        <v>134.99</v>
      </c>
      <c r="H55" s="897" t="s">
        <v>75</v>
      </c>
      <c r="I55" s="804"/>
      <c r="J55" s="804"/>
      <c r="K55" s="804"/>
      <c r="L55" s="804"/>
      <c r="M55" s="804"/>
      <c r="N55" s="804"/>
      <c r="O55" s="804"/>
      <c r="P55" s="804"/>
      <c r="Q55" s="804"/>
    </row>
    <row r="56" spans="1:17" ht="15.75" customHeight="1">
      <c r="A56" s="902" t="s">
        <v>76</v>
      </c>
      <c r="B56" s="903"/>
      <c r="C56" s="903"/>
      <c r="D56" s="903"/>
      <c r="E56" s="904"/>
      <c r="F56" s="17">
        <v>138.51</v>
      </c>
      <c r="H56" s="897" t="s">
        <v>77</v>
      </c>
      <c r="I56" s="804"/>
      <c r="J56" s="804"/>
      <c r="K56" s="804"/>
      <c r="L56" s="804"/>
      <c r="M56" s="804"/>
      <c r="N56" s="804"/>
      <c r="O56" s="804"/>
      <c r="P56" s="804"/>
      <c r="Q56" s="804"/>
    </row>
    <row r="57" spans="1:17" ht="15.75" customHeight="1">
      <c r="A57" s="899" t="s">
        <v>48</v>
      </c>
      <c r="B57" s="900"/>
      <c r="C57" s="900"/>
      <c r="D57" s="900"/>
      <c r="E57" s="901"/>
      <c r="F57" s="19">
        <f>SUM(F53:F56)/4</f>
        <v>137.57499999999999</v>
      </c>
    </row>
    <row r="58" spans="1:17" ht="15.75" customHeight="1"/>
    <row r="59" spans="1:17" ht="15.75" customHeight="1"/>
    <row r="60" spans="1:17" ht="15.75" customHeight="1"/>
    <row r="61" spans="1:17" ht="15.75" customHeight="1"/>
    <row r="62" spans="1:17" ht="15.75" customHeight="1"/>
    <row r="63" spans="1:17" ht="15.75" customHeight="1"/>
    <row r="64" spans="1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H27:Q27"/>
    <mergeCell ref="H33:Q33"/>
    <mergeCell ref="H34:Q34"/>
    <mergeCell ref="A14:E14"/>
    <mergeCell ref="A1:F1"/>
    <mergeCell ref="H24:Q24"/>
    <mergeCell ref="H25:Q25"/>
    <mergeCell ref="H26:Q26"/>
    <mergeCell ref="A25:E25"/>
    <mergeCell ref="A24:E24"/>
    <mergeCell ref="A23:F23"/>
    <mergeCell ref="A26:E26"/>
    <mergeCell ref="A12:F12"/>
    <mergeCell ref="A13:F13"/>
    <mergeCell ref="A3:E3"/>
    <mergeCell ref="A5:E5"/>
    <mergeCell ref="A22:F22"/>
    <mergeCell ref="A2:F2"/>
    <mergeCell ref="A28:E28"/>
    <mergeCell ref="A27:E27"/>
    <mergeCell ref="A33:E33"/>
    <mergeCell ref="A34:E34"/>
    <mergeCell ref="A32:F32"/>
    <mergeCell ref="A31:F31"/>
    <mergeCell ref="H35:Q35"/>
    <mergeCell ref="H36:Q36"/>
    <mergeCell ref="A35:E35"/>
    <mergeCell ref="A43:E43"/>
    <mergeCell ref="H43:Q43"/>
    <mergeCell ref="A37:E37"/>
    <mergeCell ref="A36:E36"/>
    <mergeCell ref="A47:E47"/>
    <mergeCell ref="A45:E45"/>
    <mergeCell ref="A42:F42"/>
    <mergeCell ref="A41:F41"/>
    <mergeCell ref="A44:E44"/>
    <mergeCell ref="H44:Q44"/>
    <mergeCell ref="H53:Q53"/>
    <mergeCell ref="A53:E53"/>
    <mergeCell ref="H46:Q46"/>
    <mergeCell ref="H45:Q45"/>
    <mergeCell ref="A46:E46"/>
    <mergeCell ref="A51:F51"/>
    <mergeCell ref="A52:F52"/>
    <mergeCell ref="H55:Q55"/>
    <mergeCell ref="H56:Q56"/>
    <mergeCell ref="H54:Q54"/>
    <mergeCell ref="A57:E57"/>
    <mergeCell ref="A56:E56"/>
    <mergeCell ref="A55:E55"/>
    <mergeCell ref="A54:E54"/>
  </mergeCells>
  <hyperlinks>
    <hyperlink ref="H3" r:id="rId1" xr:uid="{00000000-0004-0000-0100-000000000000}"/>
    <hyperlink ref="H4" r:id="rId2" xr:uid="{00000000-0004-0000-0100-000001000000}"/>
    <hyperlink ref="H5" r:id="rId3" xr:uid="{00000000-0004-0000-0100-000002000000}"/>
    <hyperlink ref="H6" r:id="rId4" xr:uid="{00000000-0004-0000-0100-000003000000}"/>
    <hyperlink ref="H14" r:id="rId5" xr:uid="{00000000-0004-0000-0100-000004000000}"/>
    <hyperlink ref="H15" r:id="rId6" xr:uid="{00000000-0004-0000-0100-000005000000}"/>
    <hyperlink ref="H16" r:id="rId7" xr:uid="{00000000-0004-0000-0100-000006000000}"/>
    <hyperlink ref="H17" r:id="rId8" xr:uid="{00000000-0004-0000-0100-000007000000}"/>
    <hyperlink ref="H24" r:id="rId9" xr:uid="{00000000-0004-0000-0100-000008000000}"/>
    <hyperlink ref="H25" r:id="rId10" xr:uid="{00000000-0004-0000-0100-000009000000}"/>
    <hyperlink ref="H26" r:id="rId11" xr:uid="{00000000-0004-0000-0100-00000A000000}"/>
    <hyperlink ref="H33" r:id="rId12" xr:uid="{00000000-0004-0000-0100-00000B000000}"/>
    <hyperlink ref="H34" r:id="rId13" xr:uid="{00000000-0004-0000-0100-00000C000000}"/>
    <hyperlink ref="H35" r:id="rId14" xr:uid="{00000000-0004-0000-0100-00000D000000}"/>
    <hyperlink ref="H36" r:id="rId15" xr:uid="{00000000-0004-0000-0100-00000E000000}"/>
    <hyperlink ref="H43" r:id="rId16" xr:uid="{00000000-0004-0000-0100-00000F000000}"/>
    <hyperlink ref="H44" r:id="rId17" xr:uid="{00000000-0004-0000-0100-000010000000}"/>
    <hyperlink ref="H46" r:id="rId18" xr:uid="{00000000-0004-0000-0100-000011000000}"/>
    <hyperlink ref="H53" r:id="rId19" xr:uid="{00000000-0004-0000-0100-000012000000}"/>
    <hyperlink ref="H55" r:id="rId20" xr:uid="{00000000-0004-0000-0100-000013000000}"/>
    <hyperlink ref="H56" r:id="rId21" xr:uid="{00000000-0004-0000-0100-000014000000}"/>
  </hyperlink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91"/>
  <sheetViews>
    <sheetView zoomScale="80" zoomScaleNormal="80" workbookViewId="0">
      <selection activeCell="A3" sqref="A3:S3"/>
    </sheetView>
  </sheetViews>
  <sheetFormatPr defaultColWidth="12.625" defaultRowHeight="15" customHeight="1"/>
  <cols>
    <col min="1" max="4" width="7.625" customWidth="1"/>
    <col min="5" max="5" width="9.25" customWidth="1"/>
    <col min="6" max="6" width="12.5" customWidth="1"/>
    <col min="7" max="7" width="8.625" customWidth="1"/>
    <col min="8" max="8" width="12.5" customWidth="1"/>
    <col min="9" max="9" width="8.625" customWidth="1"/>
    <col min="10" max="10" width="12.5" customWidth="1"/>
    <col min="11" max="11" width="8.625" customWidth="1"/>
    <col min="12" max="12" width="12.5" customWidth="1"/>
    <col min="13" max="13" width="8.625" customWidth="1"/>
    <col min="14" max="14" width="12.5" customWidth="1"/>
    <col min="15" max="15" width="8.625" customWidth="1"/>
    <col min="16" max="16" width="12.5" customWidth="1"/>
    <col min="17" max="17" width="8.625" customWidth="1"/>
    <col min="18" max="18" width="12.5" customWidth="1"/>
    <col min="19" max="19" width="8.625" customWidth="1"/>
    <col min="20" max="20" width="4.125" style="173" customWidth="1"/>
    <col min="21" max="21" width="13.875" customWidth="1"/>
  </cols>
  <sheetData>
    <row r="1" spans="1:20" ht="15.75" customHeight="1">
      <c r="A1" s="920" t="s">
        <v>472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  <c r="S1" s="800"/>
      <c r="T1" s="172"/>
    </row>
    <row r="2" spans="1:20" ht="15.75" customHeight="1">
      <c r="A2" s="921" t="s">
        <v>552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</row>
    <row r="3" spans="1:20" ht="15.75" customHeight="1">
      <c r="A3" s="931" t="s">
        <v>7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804"/>
    </row>
    <row r="4" spans="1:20" ht="15.75" customHeight="1" thickBot="1">
      <c r="A4" s="807" t="s">
        <v>266</v>
      </c>
      <c r="B4" s="928"/>
      <c r="C4" s="928"/>
      <c r="D4" s="928"/>
      <c r="E4" s="928"/>
      <c r="F4" s="928"/>
      <c r="G4" s="928"/>
      <c r="H4" s="928"/>
      <c r="I4" s="928"/>
      <c r="J4" s="928"/>
      <c r="K4" s="928"/>
      <c r="L4" s="928"/>
      <c r="M4" s="928"/>
      <c r="N4" s="928"/>
      <c r="O4" s="928"/>
      <c r="P4" s="928"/>
      <c r="Q4" s="928"/>
      <c r="R4" s="928"/>
      <c r="S4" s="928"/>
      <c r="T4" s="172"/>
    </row>
    <row r="5" spans="1:20" ht="14.25">
      <c r="A5" s="924" t="s">
        <v>80</v>
      </c>
      <c r="B5" s="925"/>
      <c r="C5" s="925"/>
      <c r="D5" s="925"/>
      <c r="E5" s="926"/>
      <c r="F5" s="922" t="s">
        <v>81</v>
      </c>
      <c r="G5" s="923"/>
      <c r="H5" s="922" t="s">
        <v>82</v>
      </c>
      <c r="I5" s="923"/>
      <c r="J5" s="922" t="s">
        <v>83</v>
      </c>
      <c r="K5" s="923"/>
      <c r="L5" s="922" t="s">
        <v>241</v>
      </c>
      <c r="M5" s="923"/>
      <c r="N5" s="922" t="s">
        <v>242</v>
      </c>
      <c r="O5" s="923"/>
      <c r="P5" s="922" t="s">
        <v>243</v>
      </c>
      <c r="Q5" s="923"/>
      <c r="R5" s="922" t="s">
        <v>85</v>
      </c>
      <c r="S5" s="930"/>
      <c r="T5" s="172"/>
    </row>
    <row r="6" spans="1:20" ht="14.25">
      <c r="A6" s="927"/>
      <c r="B6" s="928"/>
      <c r="C6" s="928"/>
      <c r="D6" s="928"/>
      <c r="E6" s="929"/>
      <c r="F6" s="21" t="s">
        <v>86</v>
      </c>
      <c r="G6" s="21" t="s">
        <v>36</v>
      </c>
      <c r="H6" s="21" t="s">
        <v>86</v>
      </c>
      <c r="I6" s="21" t="s">
        <v>36</v>
      </c>
      <c r="J6" s="21" t="s">
        <v>86</v>
      </c>
      <c r="K6" s="21" t="s">
        <v>36</v>
      </c>
      <c r="L6" s="21" t="s">
        <v>86</v>
      </c>
      <c r="M6" s="21" t="s">
        <v>36</v>
      </c>
      <c r="N6" s="21" t="s">
        <v>86</v>
      </c>
      <c r="O6" s="21" t="s">
        <v>36</v>
      </c>
      <c r="P6" s="21" t="s">
        <v>86</v>
      </c>
      <c r="Q6" s="21" t="s">
        <v>36</v>
      </c>
      <c r="R6" s="21" t="s">
        <v>86</v>
      </c>
      <c r="S6" s="164" t="s">
        <v>36</v>
      </c>
      <c r="T6" s="174"/>
    </row>
    <row r="7" spans="1:20" ht="14.25">
      <c r="A7" s="165">
        <v>1</v>
      </c>
      <c r="B7" s="917" t="s">
        <v>38</v>
      </c>
      <c r="C7" s="918"/>
      <c r="D7" s="918"/>
      <c r="E7" s="919"/>
      <c r="F7" s="22">
        <f>'Orçamento M.A.'!M12</f>
        <v>4556.1007718999999</v>
      </c>
      <c r="G7" s="194">
        <v>1</v>
      </c>
      <c r="H7" s="22"/>
      <c r="I7" s="194"/>
      <c r="J7" s="22"/>
      <c r="K7" s="194"/>
      <c r="L7" s="22"/>
      <c r="M7" s="194"/>
      <c r="N7" s="22"/>
      <c r="O7" s="194"/>
      <c r="P7" s="22"/>
      <c r="Q7" s="194"/>
      <c r="R7" s="23">
        <f t="shared" ref="R7:R14" si="0">F7+H7+J7+L7+N7+P7</f>
        <v>4556.1007718999999</v>
      </c>
      <c r="S7" s="166">
        <f>R7/$R$16</f>
        <v>4.6657978410907276E-3</v>
      </c>
      <c r="T7" s="175"/>
    </row>
    <row r="8" spans="1:20" ht="14.25">
      <c r="A8" s="165">
        <v>2</v>
      </c>
      <c r="B8" s="917" t="s">
        <v>52</v>
      </c>
      <c r="C8" s="918"/>
      <c r="D8" s="918"/>
      <c r="E8" s="919"/>
      <c r="F8" s="24">
        <f>'Orçamento M.A.'!M25*0.8</f>
        <v>48192.914080615999</v>
      </c>
      <c r="G8" s="195">
        <v>0.8</v>
      </c>
      <c r="H8" s="24">
        <f>'Orçamento M.A.'!M25*0.2</f>
        <v>12048.228520154</v>
      </c>
      <c r="I8" s="195">
        <v>0.2</v>
      </c>
      <c r="J8" s="24"/>
      <c r="K8" s="195"/>
      <c r="L8" s="24"/>
      <c r="M8" s="195"/>
      <c r="N8" s="24"/>
      <c r="O8" s="195"/>
      <c r="P8" s="24"/>
      <c r="Q8" s="195"/>
      <c r="R8" s="23">
        <f t="shared" si="0"/>
        <v>60241.142600769999</v>
      </c>
      <c r="S8" s="166">
        <f t="shared" ref="S8:S14" si="1">R8/$R$16</f>
        <v>6.1691566355389756E-2</v>
      </c>
      <c r="T8" s="175"/>
    </row>
    <row r="9" spans="1:20" ht="14.25">
      <c r="A9" s="165">
        <v>3</v>
      </c>
      <c r="B9" s="917" t="s">
        <v>88</v>
      </c>
      <c r="C9" s="918"/>
      <c r="D9" s="918"/>
      <c r="E9" s="919"/>
      <c r="F9" s="23"/>
      <c r="G9" s="195"/>
      <c r="H9" s="24">
        <f>'Orçamento M.A.'!M36*0.75</f>
        <v>128624.56782219</v>
      </c>
      <c r="I9" s="195">
        <v>0.75</v>
      </c>
      <c r="J9" s="24">
        <f>'Orçamento M.A.'!M36*0.25</f>
        <v>42874.855940729998</v>
      </c>
      <c r="K9" s="195">
        <v>0.25</v>
      </c>
      <c r="L9" s="24"/>
      <c r="M9" s="195"/>
      <c r="N9" s="24"/>
      <c r="O9" s="195"/>
      <c r="P9" s="24"/>
      <c r="Q9" s="195"/>
      <c r="R9" s="23">
        <f t="shared" si="0"/>
        <v>171499.42376291999</v>
      </c>
      <c r="S9" s="166">
        <f t="shared" si="1"/>
        <v>0.1756286090238609</v>
      </c>
      <c r="T9" s="175"/>
    </row>
    <row r="10" spans="1:20" ht="14.25">
      <c r="A10" s="165">
        <v>4</v>
      </c>
      <c r="B10" s="917" t="s">
        <v>122</v>
      </c>
      <c r="C10" s="918"/>
      <c r="D10" s="918"/>
      <c r="E10" s="919"/>
      <c r="F10" s="24"/>
      <c r="G10" s="195"/>
      <c r="H10" s="24"/>
      <c r="I10" s="195"/>
      <c r="J10" s="23">
        <f>'Orçamento M.A.'!M58*0.7</f>
        <v>204893.01529248297</v>
      </c>
      <c r="K10" s="195">
        <v>0.7</v>
      </c>
      <c r="L10" s="23">
        <f>'Orçamento M.A.'!M58*0.3</f>
        <v>87811.292268206991</v>
      </c>
      <c r="M10" s="195">
        <v>0.3</v>
      </c>
      <c r="N10" s="23"/>
      <c r="O10" s="195"/>
      <c r="P10" s="23"/>
      <c r="Q10" s="195"/>
      <c r="R10" s="23">
        <f t="shared" si="0"/>
        <v>292704.30756068998</v>
      </c>
      <c r="S10" s="166">
        <f t="shared" si="1"/>
        <v>0.29975173831045343</v>
      </c>
      <c r="T10" s="175"/>
    </row>
    <row r="11" spans="1:20" ht="14.25">
      <c r="A11" s="165">
        <v>5</v>
      </c>
      <c r="B11" s="917" t="s">
        <v>254</v>
      </c>
      <c r="C11" s="918"/>
      <c r="D11" s="918"/>
      <c r="E11" s="919"/>
      <c r="F11" s="22"/>
      <c r="G11" s="194"/>
      <c r="H11" s="22">
        <f>'Orçamento M.A.'!M72*0.06</f>
        <v>2658.9440463701999</v>
      </c>
      <c r="I11" s="194">
        <v>0.06</v>
      </c>
      <c r="J11" s="22">
        <f>'Orçamento M.A.'!M72*0.5</f>
        <v>22157.867053084999</v>
      </c>
      <c r="K11" s="194">
        <v>0.5</v>
      </c>
      <c r="L11" s="22">
        <f>'Orçamento M.A.'!M72*0.39</f>
        <v>17283.136301406299</v>
      </c>
      <c r="M11" s="194">
        <v>0.39</v>
      </c>
      <c r="N11" s="22">
        <f>'Orçamento M.A.'!M72*0.05</f>
        <v>2215.7867053085001</v>
      </c>
      <c r="O11" s="194">
        <v>0.5</v>
      </c>
      <c r="P11" s="22"/>
      <c r="Q11" s="194"/>
      <c r="R11" s="23">
        <f t="shared" si="0"/>
        <v>44315.734106169999</v>
      </c>
      <c r="S11" s="166">
        <f t="shared" si="1"/>
        <v>4.5382722391518034E-2</v>
      </c>
      <c r="T11" s="175"/>
    </row>
    <row r="12" spans="1:20" ht="14.25">
      <c r="A12" s="165">
        <v>6</v>
      </c>
      <c r="B12" s="917" t="s">
        <v>255</v>
      </c>
      <c r="C12" s="918"/>
      <c r="D12" s="918"/>
      <c r="E12" s="919"/>
      <c r="F12" s="22"/>
      <c r="G12" s="194"/>
      <c r="H12" s="22"/>
      <c r="I12" s="194"/>
      <c r="J12" s="22"/>
      <c r="K12" s="194"/>
      <c r="L12" s="22">
        <f>'Orçamento M.A.'!M107*0.45</f>
        <v>143139.21055769696</v>
      </c>
      <c r="M12" s="194">
        <v>0.45</v>
      </c>
      <c r="N12" s="22">
        <f>'Orçamento M.A.'!M107*0.25</f>
        <v>79521.783643164978</v>
      </c>
      <c r="O12" s="194">
        <v>0.25</v>
      </c>
      <c r="P12" s="22">
        <f>'Orçamento M.A.'!M107*0.3</f>
        <v>95426.14037179797</v>
      </c>
      <c r="Q12" s="194">
        <v>0.3</v>
      </c>
      <c r="R12" s="23">
        <f t="shared" si="0"/>
        <v>318087.13457265991</v>
      </c>
      <c r="S12" s="166">
        <f t="shared" si="1"/>
        <v>0.3257457067063369</v>
      </c>
      <c r="T12" s="175"/>
    </row>
    <row r="13" spans="1:20" ht="14.25">
      <c r="A13" s="165">
        <v>7</v>
      </c>
      <c r="B13" s="917" t="s">
        <v>212</v>
      </c>
      <c r="C13" s="918"/>
      <c r="D13" s="918"/>
      <c r="E13" s="919"/>
      <c r="F13" s="24"/>
      <c r="G13" s="195"/>
      <c r="H13" s="24">
        <f>'Orçamento M.A.'!M165*0.1</f>
        <v>8392.7514063299986</v>
      </c>
      <c r="I13" s="195">
        <v>0.1</v>
      </c>
      <c r="J13" s="24">
        <f>'Orçamento M.A.'!M165*0.2</f>
        <v>16785.502812659997</v>
      </c>
      <c r="K13" s="195">
        <v>0.2</v>
      </c>
      <c r="L13" s="24">
        <f>'Orçamento M.A.'!M165*0.2</f>
        <v>16785.502812659997</v>
      </c>
      <c r="M13" s="195">
        <v>0.2</v>
      </c>
      <c r="N13" s="24">
        <f>'Orçamento M.A.'!M165*0.2</f>
        <v>16785.502812659997</v>
      </c>
      <c r="O13" s="195">
        <v>0.2</v>
      </c>
      <c r="P13" s="24">
        <f>'Orçamento M.A.'!M165*0.3</f>
        <v>25178.254218989994</v>
      </c>
      <c r="Q13" s="195">
        <v>0.3</v>
      </c>
      <c r="R13" s="23">
        <f t="shared" si="0"/>
        <v>83927.514063299983</v>
      </c>
      <c r="S13" s="166">
        <f t="shared" si="1"/>
        <v>8.5948233704531321E-2</v>
      </c>
      <c r="T13" s="175"/>
    </row>
    <row r="14" spans="1:20" ht="14.25">
      <c r="A14" s="165">
        <v>8</v>
      </c>
      <c r="B14" s="917" t="s">
        <v>235</v>
      </c>
      <c r="C14" s="918"/>
      <c r="D14" s="918"/>
      <c r="E14" s="919"/>
      <c r="F14" s="23"/>
      <c r="G14" s="195"/>
      <c r="H14" s="24"/>
      <c r="I14" s="195"/>
      <c r="J14" s="24"/>
      <c r="K14" s="195"/>
      <c r="L14" s="24"/>
      <c r="M14" s="195"/>
      <c r="N14" s="24"/>
      <c r="O14" s="195"/>
      <c r="P14" s="24">
        <f>'Orçamento M.A.'!M168</f>
        <v>1157.7505498</v>
      </c>
      <c r="Q14" s="195">
        <v>1</v>
      </c>
      <c r="R14" s="23">
        <f t="shared" si="0"/>
        <v>1157.7505498</v>
      </c>
      <c r="S14" s="166">
        <f t="shared" si="1"/>
        <v>1.1856256668189881E-3</v>
      </c>
      <c r="T14" s="175"/>
    </row>
    <row r="15" spans="1:20" ht="15.75" customHeight="1" thickBot="1">
      <c r="A15" s="167"/>
      <c r="B15" s="198"/>
      <c r="C15" s="198"/>
      <c r="D15" s="198"/>
      <c r="E15" s="198"/>
      <c r="F15" s="198"/>
      <c r="G15" s="198"/>
      <c r="H15" s="198"/>
      <c r="I15" s="198"/>
      <c r="J15" s="198"/>
      <c r="K15" s="199"/>
      <c r="L15" s="198"/>
      <c r="M15" s="198"/>
      <c r="N15" s="198"/>
      <c r="O15" s="198"/>
      <c r="P15" s="198"/>
      <c r="Q15" s="198"/>
      <c r="R15" s="163"/>
      <c r="S15" s="168"/>
      <c r="T15" s="176"/>
    </row>
    <row r="16" spans="1:20" ht="15.75" customHeight="1">
      <c r="A16" s="932"/>
      <c r="B16" s="938" t="s">
        <v>95</v>
      </c>
      <c r="C16" s="939"/>
      <c r="D16" s="939"/>
      <c r="E16" s="923"/>
      <c r="F16" s="200">
        <f>F7+F8+F9+F10+F11+F12+F13+F14</f>
        <v>52749.014852515997</v>
      </c>
      <c r="G16" s="201">
        <f>F16/R16</f>
        <v>5.4019050925402531E-2</v>
      </c>
      <c r="H16" s="200">
        <f>H7+H8+H9+H10+H11+H12+H13+H14</f>
        <v>151724.49179504419</v>
      </c>
      <c r="I16" s="201">
        <f>H16/R16</f>
        <v>0.15537755675291784</v>
      </c>
      <c r="J16" s="200">
        <f>J7+J8+J9+J10+J11+J12+J13+J14</f>
        <v>286711.24109895795</v>
      </c>
      <c r="K16" s="201">
        <f>J16/R16</f>
        <v>0.29361437700994791</v>
      </c>
      <c r="L16" s="200">
        <f>L7+L8+L9+L10+L11+L12+L13+L14</f>
        <v>265019.14193997026</v>
      </c>
      <c r="M16" s="201">
        <f>L16/R16</f>
        <v>0.27139999798458592</v>
      </c>
      <c r="N16" s="200">
        <f>N7+N8+N9+N10+N11+N12+N13+N14</f>
        <v>98523.073161133478</v>
      </c>
      <c r="O16" s="201">
        <f>N16/R16</f>
        <v>0.10089520953706639</v>
      </c>
      <c r="P16" s="200">
        <f>P7+P8+P9+P10+P11+P12+P13+P14</f>
        <v>121762.14514058796</v>
      </c>
      <c r="Q16" s="202">
        <f>P16/R16</f>
        <v>0.12469380779007945</v>
      </c>
      <c r="R16" s="196">
        <f>R7+R8+R9+R10+R11+R12+R13+R14</f>
        <v>976489.10798820981</v>
      </c>
      <c r="S16" s="169">
        <v>1</v>
      </c>
      <c r="T16" s="177"/>
    </row>
    <row r="17" spans="1:21" ht="15.75" customHeight="1" thickBot="1">
      <c r="A17" s="933"/>
      <c r="B17" s="934" t="s">
        <v>109</v>
      </c>
      <c r="C17" s="935"/>
      <c r="D17" s="935"/>
      <c r="E17" s="936"/>
      <c r="F17" s="170">
        <f>F16</f>
        <v>52749.014852515997</v>
      </c>
      <c r="G17" s="193">
        <f>F17/R16</f>
        <v>5.4019050925402531E-2</v>
      </c>
      <c r="H17" s="170">
        <f>H16+F17</f>
        <v>204473.50664756019</v>
      </c>
      <c r="I17" s="193">
        <f>H17/R16</f>
        <v>0.20939660767832038</v>
      </c>
      <c r="J17" s="170">
        <f>J16+H17</f>
        <v>491184.74774651811</v>
      </c>
      <c r="K17" s="193">
        <f>J17/R16</f>
        <v>0.50301098468826821</v>
      </c>
      <c r="L17" s="170">
        <f>L16+J17</f>
        <v>756203.88968648831</v>
      </c>
      <c r="M17" s="193">
        <f>L17/R16</f>
        <v>0.77441098267285413</v>
      </c>
      <c r="N17" s="170">
        <f>N16+L17</f>
        <v>854726.96284762176</v>
      </c>
      <c r="O17" s="193">
        <f>N17/R16</f>
        <v>0.87530619220992045</v>
      </c>
      <c r="P17" s="170">
        <f>P16+N17</f>
        <v>976489.1079882097</v>
      </c>
      <c r="Q17" s="203">
        <f>P17/R16</f>
        <v>0.99999999999999989</v>
      </c>
      <c r="R17" s="197"/>
      <c r="S17" s="171"/>
      <c r="T17" s="178"/>
      <c r="U17" s="181">
        <f>'Orçamento M.A.'!M169</f>
        <v>976489.10798820981</v>
      </c>
    </row>
    <row r="18" spans="1:21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79"/>
    </row>
    <row r="19" spans="1:21" ht="15.75" customHeight="1">
      <c r="A19" s="25"/>
      <c r="B19" s="940" t="s">
        <v>110</v>
      </c>
      <c r="C19" s="804"/>
      <c r="D19" s="26"/>
      <c r="E19" s="26"/>
      <c r="F19" s="26"/>
      <c r="G19" s="26"/>
      <c r="H19" s="26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25"/>
      <c r="T19" s="180"/>
    </row>
    <row r="20" spans="1:21" ht="15.75" customHeight="1">
      <c r="A20" s="25"/>
      <c r="B20" s="29" t="s">
        <v>112</v>
      </c>
      <c r="C20" s="26"/>
      <c r="D20" s="28"/>
      <c r="E20" s="943" t="s">
        <v>474</v>
      </c>
      <c r="F20" s="804"/>
      <c r="G20" s="28"/>
      <c r="H20" s="26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5"/>
      <c r="T20" s="180"/>
    </row>
    <row r="21" spans="1:21" ht="15.75" customHeight="1">
      <c r="A21" s="25"/>
      <c r="B21" s="941" t="s">
        <v>113</v>
      </c>
      <c r="C21" s="804"/>
      <c r="D21" s="28"/>
      <c r="E21" s="30" t="s">
        <v>114</v>
      </c>
      <c r="F21" s="30"/>
      <c r="G21" s="28"/>
      <c r="H21" s="26"/>
      <c r="I21" s="27"/>
      <c r="J21" s="28"/>
      <c r="K21" s="28"/>
      <c r="L21" s="28"/>
      <c r="M21" s="28"/>
      <c r="N21" s="28"/>
      <c r="O21" s="28"/>
      <c r="P21" s="28"/>
      <c r="Q21" s="28"/>
      <c r="R21" s="28"/>
      <c r="S21" s="25"/>
      <c r="T21" s="180"/>
    </row>
    <row r="22" spans="1:21" ht="15.75" customHeight="1">
      <c r="A22" s="25"/>
      <c r="B22" s="941" t="s">
        <v>115</v>
      </c>
      <c r="C22" s="804"/>
      <c r="D22" s="28"/>
      <c r="E22" s="942">
        <v>1.1276999999999999</v>
      </c>
      <c r="F22" s="804"/>
      <c r="G22" s="28"/>
      <c r="H22" s="31"/>
      <c r="I22" s="27"/>
      <c r="J22" s="28"/>
      <c r="K22" s="28"/>
      <c r="L22" s="28"/>
      <c r="M22" s="28"/>
      <c r="N22" s="28"/>
      <c r="O22" s="28"/>
      <c r="P22" s="28"/>
      <c r="Q22" s="28"/>
      <c r="R22" s="28"/>
      <c r="S22" s="25"/>
      <c r="T22" s="180"/>
    </row>
    <row r="23" spans="1:21" ht="15.75" customHeight="1">
      <c r="A23" s="25"/>
      <c r="B23" s="941" t="s">
        <v>117</v>
      </c>
      <c r="C23" s="804"/>
      <c r="D23" s="28"/>
      <c r="E23" s="942">
        <v>0.22470000000000001</v>
      </c>
      <c r="F23" s="804"/>
      <c r="G23" s="28"/>
      <c r="H23" s="26"/>
      <c r="I23" s="27"/>
      <c r="J23" s="28"/>
      <c r="K23" s="28"/>
      <c r="L23" s="28"/>
      <c r="M23" s="28"/>
      <c r="N23" s="28"/>
      <c r="O23" s="28"/>
      <c r="P23" s="28"/>
      <c r="Q23" s="28"/>
      <c r="R23" s="28"/>
      <c r="S23" s="25"/>
      <c r="T23" s="180"/>
    </row>
    <row r="24" spans="1:21" ht="15.75" customHeight="1">
      <c r="A24" s="25"/>
      <c r="B24" s="941"/>
      <c r="C24" s="804"/>
      <c r="D24" s="28"/>
      <c r="E24" s="940"/>
      <c r="F24" s="804"/>
      <c r="G24" s="28"/>
      <c r="H24" s="26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5"/>
      <c r="T24" s="180"/>
    </row>
    <row r="25" spans="1:21" ht="15.75" customHeight="1">
      <c r="A25" s="25"/>
      <c r="B25" s="29" t="s">
        <v>119</v>
      </c>
      <c r="C25" s="26"/>
      <c r="D25" s="28"/>
      <c r="E25" s="26"/>
      <c r="F25" s="26"/>
      <c r="G25" s="28"/>
      <c r="H25" s="26"/>
      <c r="I25" s="32"/>
      <c r="J25" s="28"/>
      <c r="K25" s="28"/>
      <c r="L25" s="28"/>
      <c r="M25" s="28"/>
      <c r="N25" s="28"/>
      <c r="O25" s="28"/>
      <c r="P25" s="28"/>
      <c r="Q25" s="28"/>
      <c r="R25" s="28"/>
      <c r="S25" s="25"/>
      <c r="T25" s="180"/>
    </row>
    <row r="26" spans="1:21" ht="15.75" customHeight="1">
      <c r="A26" s="25"/>
      <c r="B26" s="28"/>
      <c r="C26" s="28"/>
      <c r="D26" s="28"/>
      <c r="E26" s="28"/>
      <c r="F26" s="28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27"/>
      <c r="S26" s="25"/>
      <c r="T26" s="180"/>
    </row>
    <row r="27" spans="1:21" ht="15.75" customHeight="1">
      <c r="A27" s="25"/>
      <c r="B27" s="28"/>
      <c r="C27" s="28"/>
      <c r="D27" s="28"/>
      <c r="E27" s="28"/>
      <c r="F27" s="28"/>
      <c r="G27" s="31"/>
      <c r="H27" s="31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5"/>
      <c r="T27" s="180"/>
    </row>
    <row r="28" spans="1:21" ht="15.75" customHeight="1">
      <c r="A28" s="25"/>
      <c r="B28" s="33"/>
      <c r="C28" s="33"/>
      <c r="D28" s="33"/>
      <c r="E28" s="34"/>
      <c r="F28" s="34"/>
      <c r="G28" s="34"/>
      <c r="H28" s="34"/>
      <c r="I28" s="33"/>
      <c r="J28" s="33"/>
      <c r="K28" s="33"/>
      <c r="L28" s="31"/>
      <c r="M28" s="31"/>
      <c r="N28" s="31"/>
      <c r="O28" s="31"/>
      <c r="P28" s="31"/>
      <c r="Q28" s="31"/>
      <c r="R28" s="28"/>
      <c r="S28" s="25"/>
      <c r="T28" s="180"/>
    </row>
    <row r="29" spans="1:21" ht="15.75" customHeight="1">
      <c r="A29" s="25"/>
      <c r="B29" s="937"/>
      <c r="C29" s="804"/>
      <c r="D29" s="804"/>
      <c r="E29" s="804"/>
      <c r="F29" s="804"/>
      <c r="G29" s="804"/>
      <c r="H29" s="804"/>
      <c r="I29" s="804"/>
      <c r="J29" s="804"/>
      <c r="K29" s="804"/>
      <c r="L29" s="35"/>
      <c r="M29" s="35"/>
      <c r="N29" s="35"/>
      <c r="O29" s="35"/>
      <c r="P29" s="35"/>
      <c r="Q29" s="35"/>
      <c r="R29" s="25"/>
      <c r="S29" s="25"/>
      <c r="T29" s="180"/>
    </row>
    <row r="30" spans="1:21" ht="15.75" customHeight="1">
      <c r="A30" s="25"/>
      <c r="B30" s="937"/>
      <c r="C30" s="804"/>
      <c r="D30" s="804"/>
      <c r="E30" s="804"/>
      <c r="F30" s="804"/>
      <c r="G30" s="804"/>
      <c r="H30" s="804"/>
      <c r="I30" s="804"/>
      <c r="J30" s="804"/>
      <c r="K30" s="804"/>
      <c r="L30" s="35"/>
      <c r="M30" s="35"/>
      <c r="N30" s="35"/>
      <c r="O30" s="35"/>
      <c r="P30" s="35"/>
      <c r="Q30" s="35"/>
      <c r="R30" s="25"/>
      <c r="S30" s="25"/>
      <c r="T30" s="180"/>
    </row>
    <row r="31" spans="1:21" ht="15.75" customHeight="1">
      <c r="B31" s="916"/>
      <c r="C31" s="916"/>
      <c r="D31" s="916"/>
      <c r="E31" s="916"/>
      <c r="F31" s="916"/>
      <c r="G31" s="916"/>
      <c r="H31" s="916"/>
      <c r="I31" s="916"/>
      <c r="J31" s="916"/>
      <c r="K31" s="916"/>
    </row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5">
    <mergeCell ref="A16:A17"/>
    <mergeCell ref="B17:E17"/>
    <mergeCell ref="B10:E10"/>
    <mergeCell ref="B13:E13"/>
    <mergeCell ref="B30:K30"/>
    <mergeCell ref="B29:K29"/>
    <mergeCell ref="B16:E16"/>
    <mergeCell ref="E24:F24"/>
    <mergeCell ref="B22:C22"/>
    <mergeCell ref="B24:C24"/>
    <mergeCell ref="B23:C23"/>
    <mergeCell ref="E23:F23"/>
    <mergeCell ref="B21:C21"/>
    <mergeCell ref="B19:C19"/>
    <mergeCell ref="E22:F22"/>
    <mergeCell ref="E20:F20"/>
    <mergeCell ref="A1:S1"/>
    <mergeCell ref="A2:S2"/>
    <mergeCell ref="J5:K5"/>
    <mergeCell ref="A5:E6"/>
    <mergeCell ref="H5:I5"/>
    <mergeCell ref="F5:G5"/>
    <mergeCell ref="R5:S5"/>
    <mergeCell ref="P5:Q5"/>
    <mergeCell ref="L5:M5"/>
    <mergeCell ref="N5:O5"/>
    <mergeCell ref="A3:S3"/>
    <mergeCell ref="A4:S4"/>
    <mergeCell ref="B31:K31"/>
    <mergeCell ref="B9:E9"/>
    <mergeCell ref="B7:E7"/>
    <mergeCell ref="B8:E8"/>
    <mergeCell ref="B14:E14"/>
    <mergeCell ref="B12:E12"/>
    <mergeCell ref="B11:E11"/>
  </mergeCells>
  <pageMargins left="0.51181102362204722" right="0.51181102362204722" top="0.78740157480314965" bottom="0.78740157480314965" header="0" footer="0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A846"/>
  <sheetViews>
    <sheetView topLeftCell="A124" zoomScale="80" zoomScaleNormal="80" workbookViewId="0">
      <selection activeCell="D155" sqref="D155"/>
    </sheetView>
  </sheetViews>
  <sheetFormatPr defaultColWidth="12.625" defaultRowHeight="15" customHeight="1"/>
  <cols>
    <col min="1" max="1" width="7.625" style="44" customWidth="1"/>
    <col min="2" max="2" width="22" style="44" customWidth="1"/>
    <col min="3" max="3" width="10.5" style="44" customWidth="1"/>
    <col min="4" max="4" width="79.5" style="97" customWidth="1"/>
    <col min="5" max="5" width="7.625" style="44" customWidth="1"/>
    <col min="6" max="6" width="10.5" style="44" customWidth="1"/>
    <col min="7" max="7" width="8.625" style="44" bestFit="1" customWidth="1"/>
    <col min="8" max="8" width="10.25" style="44" customWidth="1"/>
    <col min="9" max="9" width="11.75" style="44" customWidth="1"/>
    <col min="10" max="10" width="15.125" style="44" customWidth="1"/>
    <col min="11" max="11" width="13.625" style="44" customWidth="1"/>
    <col min="12" max="12" width="14.875" style="44" customWidth="1"/>
    <col min="13" max="16384" width="12.625" style="44"/>
  </cols>
  <sheetData>
    <row r="3" spans="1:12" ht="22.5" customHeight="1">
      <c r="B3" s="354"/>
      <c r="C3" s="354"/>
      <c r="D3" s="355"/>
      <c r="E3" s="354"/>
      <c r="F3" s="354"/>
      <c r="G3" s="354"/>
      <c r="H3" s="354"/>
      <c r="I3" s="354"/>
      <c r="J3" s="354"/>
      <c r="K3" s="354"/>
      <c r="L3" s="354"/>
    </row>
    <row r="4" spans="1:12" ht="22.5" customHeight="1"/>
    <row r="5" spans="1:12" ht="22.5" customHeight="1">
      <c r="A5" s="956" t="s">
        <v>487</v>
      </c>
      <c r="B5" s="430" t="s">
        <v>93</v>
      </c>
      <c r="C5" s="975"/>
      <c r="D5" s="960"/>
      <c r="E5" s="960"/>
      <c r="F5" s="960"/>
      <c r="G5" s="960"/>
      <c r="H5" s="960"/>
      <c r="I5" s="960"/>
      <c r="J5" s="960"/>
      <c r="K5" s="960"/>
      <c r="L5" s="961"/>
    </row>
    <row r="6" spans="1:12" ht="22.5" customHeight="1">
      <c r="A6" s="957"/>
      <c r="B6" s="45" t="s">
        <v>94</v>
      </c>
      <c r="C6" s="974" t="s">
        <v>121</v>
      </c>
      <c r="D6" s="948"/>
      <c r="E6" s="948"/>
      <c r="F6" s="948"/>
      <c r="G6" s="948"/>
      <c r="H6" s="948"/>
      <c r="I6" s="948"/>
      <c r="J6" s="948"/>
      <c r="K6" s="948"/>
      <c r="L6" s="949"/>
    </row>
    <row r="7" spans="1:12" ht="22.5" customHeight="1">
      <c r="A7" s="957"/>
      <c r="B7" s="46" t="s">
        <v>96</v>
      </c>
      <c r="C7" s="971" t="s">
        <v>97</v>
      </c>
      <c r="D7" s="972"/>
      <c r="E7" s="972"/>
      <c r="F7" s="972"/>
      <c r="G7" s="972"/>
      <c r="H7" s="972"/>
      <c r="I7" s="972"/>
      <c r="J7" s="972"/>
      <c r="K7" s="972"/>
      <c r="L7" s="973"/>
    </row>
    <row r="8" spans="1:12" ht="45" customHeight="1">
      <c r="A8" s="957"/>
      <c r="B8" s="45" t="s">
        <v>98</v>
      </c>
      <c r="C8" s="47" t="s">
        <v>12</v>
      </c>
      <c r="D8" s="96" t="s">
        <v>99</v>
      </c>
      <c r="E8" s="47" t="s">
        <v>96</v>
      </c>
      <c r="F8" s="359" t="s">
        <v>100</v>
      </c>
      <c r="G8" s="48" t="s">
        <v>101</v>
      </c>
      <c r="H8" s="48" t="s">
        <v>102</v>
      </c>
      <c r="I8" s="48" t="s">
        <v>103</v>
      </c>
      <c r="J8" s="48" t="s">
        <v>104</v>
      </c>
      <c r="K8" s="48" t="s">
        <v>105</v>
      </c>
      <c r="L8" s="49" t="s">
        <v>106</v>
      </c>
    </row>
    <row r="9" spans="1:12" ht="22.5" customHeight="1">
      <c r="A9" s="957"/>
      <c r="B9" s="447" t="s">
        <v>107</v>
      </c>
      <c r="C9" s="450" t="s">
        <v>125</v>
      </c>
      <c r="D9" s="454" t="s">
        <v>126</v>
      </c>
      <c r="E9" s="450" t="s">
        <v>127</v>
      </c>
      <c r="F9" s="457">
        <v>1</v>
      </c>
      <c r="G9" s="461">
        <f>H9+I9</f>
        <v>150.43</v>
      </c>
      <c r="H9" s="465">
        <v>150.43</v>
      </c>
      <c r="I9" s="465">
        <v>0</v>
      </c>
      <c r="J9" s="485">
        <f>H9*F9</f>
        <v>150.43</v>
      </c>
      <c r="K9" s="465">
        <f t="shared" ref="K9:K10" si="0">I9*F9</f>
        <v>0</v>
      </c>
      <c r="L9" s="466">
        <f t="shared" ref="L9:L10" si="1">K9+J9</f>
        <v>150.43</v>
      </c>
    </row>
    <row r="10" spans="1:12" ht="27" customHeight="1">
      <c r="A10" s="957"/>
      <c r="B10" s="470" t="s">
        <v>133</v>
      </c>
      <c r="C10" s="451">
        <v>95541</v>
      </c>
      <c r="D10" s="456" t="s">
        <v>134</v>
      </c>
      <c r="E10" s="451" t="s">
        <v>127</v>
      </c>
      <c r="F10" s="460">
        <v>6</v>
      </c>
      <c r="G10" s="464">
        <v>3.75</v>
      </c>
      <c r="H10" s="469">
        <v>0.85</v>
      </c>
      <c r="I10" s="469">
        <v>4.12</v>
      </c>
      <c r="J10" s="461">
        <f t="shared" ref="J10" si="2">H10*F10</f>
        <v>5.0999999999999996</v>
      </c>
      <c r="K10" s="461">
        <f t="shared" si="0"/>
        <v>24.72</v>
      </c>
      <c r="L10" s="467">
        <f t="shared" si="1"/>
        <v>29.82</v>
      </c>
    </row>
    <row r="11" spans="1:12" ht="22.5" customHeight="1">
      <c r="A11" s="958"/>
      <c r="B11" s="953" t="s">
        <v>85</v>
      </c>
      <c r="C11" s="965"/>
      <c r="D11" s="965"/>
      <c r="E11" s="965"/>
      <c r="F11" s="965"/>
      <c r="G11" s="965"/>
      <c r="H11" s="965"/>
      <c r="I11" s="966"/>
      <c r="J11" s="52">
        <f t="shared" ref="J11:L11" si="3">SUM(J9:J10)</f>
        <v>155.53</v>
      </c>
      <c r="K11" s="52">
        <f t="shared" si="3"/>
        <v>24.72</v>
      </c>
      <c r="L11" s="51">
        <f t="shared" si="3"/>
        <v>180.25</v>
      </c>
    </row>
    <row r="12" spans="1:12" ht="22.5" customHeight="1">
      <c r="A12" s="50"/>
    </row>
    <row r="13" spans="1:12" ht="22.5" customHeight="1">
      <c r="A13" s="956" t="s">
        <v>485</v>
      </c>
      <c r="B13" s="43" t="s">
        <v>93</v>
      </c>
      <c r="C13" s="979"/>
      <c r="D13" s="980"/>
      <c r="E13" s="980"/>
      <c r="F13" s="980"/>
      <c r="G13" s="980"/>
      <c r="H13" s="980"/>
      <c r="I13" s="980"/>
      <c r="J13" s="980"/>
      <c r="K13" s="980"/>
      <c r="L13" s="981"/>
    </row>
    <row r="14" spans="1:12" ht="22.5" customHeight="1">
      <c r="A14" s="957"/>
      <c r="B14" s="45" t="s">
        <v>94</v>
      </c>
      <c r="C14" s="976" t="s">
        <v>135</v>
      </c>
      <c r="D14" s="977"/>
      <c r="E14" s="977"/>
      <c r="F14" s="977"/>
      <c r="G14" s="977"/>
      <c r="H14" s="977"/>
      <c r="I14" s="977"/>
      <c r="J14" s="977"/>
      <c r="K14" s="977"/>
      <c r="L14" s="978"/>
    </row>
    <row r="15" spans="1:12" ht="22.5" customHeight="1">
      <c r="A15" s="957"/>
      <c r="B15" s="46" t="s">
        <v>96</v>
      </c>
      <c r="C15" s="982" t="s">
        <v>97</v>
      </c>
      <c r="D15" s="983"/>
      <c r="E15" s="983"/>
      <c r="F15" s="983"/>
      <c r="G15" s="983"/>
      <c r="H15" s="983"/>
      <c r="I15" s="983"/>
      <c r="J15" s="983"/>
      <c r="K15" s="983"/>
      <c r="L15" s="984"/>
    </row>
    <row r="16" spans="1:12" ht="45">
      <c r="A16" s="957"/>
      <c r="B16" s="45" t="s">
        <v>98</v>
      </c>
      <c r="C16" s="47" t="s">
        <v>12</v>
      </c>
      <c r="D16" s="96" t="s">
        <v>99</v>
      </c>
      <c r="E16" s="47" t="s">
        <v>96</v>
      </c>
      <c r="F16" s="359" t="s">
        <v>100</v>
      </c>
      <c r="G16" s="48" t="s">
        <v>101</v>
      </c>
      <c r="H16" s="48" t="s">
        <v>102</v>
      </c>
      <c r="I16" s="48" t="s">
        <v>103</v>
      </c>
      <c r="J16" s="48" t="s">
        <v>104</v>
      </c>
      <c r="K16" s="48" t="s">
        <v>105</v>
      </c>
      <c r="L16" s="49" t="s">
        <v>106</v>
      </c>
    </row>
    <row r="17" spans="1:12" ht="15.75" customHeight="1">
      <c r="A17" s="957"/>
      <c r="B17" s="447" t="s">
        <v>107</v>
      </c>
      <c r="C17" s="450" t="s">
        <v>125</v>
      </c>
      <c r="D17" s="454" t="s">
        <v>136</v>
      </c>
      <c r="E17" s="450" t="s">
        <v>127</v>
      </c>
      <c r="F17" s="457">
        <v>1</v>
      </c>
      <c r="G17" s="461">
        <f>H17</f>
        <v>201.69</v>
      </c>
      <c r="H17" s="461">
        <v>201.69</v>
      </c>
      <c r="I17" s="461">
        <v>0</v>
      </c>
      <c r="J17" s="461">
        <f t="shared" ref="J17:J18" si="4">H17*F17</f>
        <v>201.69</v>
      </c>
      <c r="K17" s="461">
        <f t="shared" ref="K17:K18" si="5">I17*F17</f>
        <v>0</v>
      </c>
      <c r="L17" s="466">
        <f t="shared" ref="L17:L18" si="6">K17+J17</f>
        <v>201.69</v>
      </c>
    </row>
    <row r="18" spans="1:12" ht="15" customHeight="1">
      <c r="A18" s="957"/>
      <c r="B18" s="470" t="s">
        <v>133</v>
      </c>
      <c r="C18" s="451">
        <v>95541</v>
      </c>
      <c r="D18" s="456" t="s">
        <v>134</v>
      </c>
      <c r="E18" s="451" t="s">
        <v>127</v>
      </c>
      <c r="F18" s="460">
        <v>12</v>
      </c>
      <c r="G18" s="464">
        <v>3.75</v>
      </c>
      <c r="H18" s="464">
        <v>33.61</v>
      </c>
      <c r="I18" s="464">
        <v>3.9</v>
      </c>
      <c r="J18" s="463">
        <f t="shared" si="4"/>
        <v>403.32</v>
      </c>
      <c r="K18" s="463">
        <f t="shared" si="5"/>
        <v>46.8</v>
      </c>
      <c r="L18" s="467">
        <f t="shared" si="6"/>
        <v>450.12</v>
      </c>
    </row>
    <row r="19" spans="1:12" ht="15.75" customHeight="1">
      <c r="A19" s="958"/>
      <c r="B19" s="953" t="s">
        <v>85</v>
      </c>
      <c r="C19" s="954"/>
      <c r="D19" s="954"/>
      <c r="E19" s="954"/>
      <c r="F19" s="954"/>
      <c r="G19" s="954"/>
      <c r="H19" s="954"/>
      <c r="I19" s="955"/>
      <c r="J19" s="52">
        <f t="shared" ref="J19:L19" si="7">SUM(J17:J18)</f>
        <v>605.01</v>
      </c>
      <c r="K19" s="52">
        <f t="shared" si="7"/>
        <v>46.8</v>
      </c>
      <c r="L19" s="51">
        <f t="shared" si="7"/>
        <v>651.80999999999995</v>
      </c>
    </row>
    <row r="20" spans="1:12" ht="15.75" customHeight="1" thickBot="1">
      <c r="A20" s="50"/>
      <c r="B20" s="354"/>
      <c r="C20" s="354"/>
      <c r="D20" s="355"/>
      <c r="E20" s="354"/>
      <c r="F20" s="354"/>
      <c r="G20" s="354"/>
      <c r="H20" s="354"/>
      <c r="I20" s="354"/>
      <c r="J20" s="354"/>
      <c r="K20" s="354"/>
      <c r="L20" s="354"/>
    </row>
    <row r="21" spans="1:12" ht="15.75" customHeight="1">
      <c r="A21" s="956" t="s">
        <v>278</v>
      </c>
      <c r="B21" s="430" t="s">
        <v>93</v>
      </c>
      <c r="C21" s="944" t="s">
        <v>466</v>
      </c>
      <c r="D21" s="945"/>
      <c r="E21" s="945"/>
      <c r="F21" s="945"/>
      <c r="G21" s="945"/>
      <c r="H21" s="945"/>
      <c r="I21" s="945"/>
      <c r="J21" s="945"/>
      <c r="K21" s="945"/>
      <c r="L21" s="946"/>
    </row>
    <row r="22" spans="1:12" ht="15.75" customHeight="1">
      <c r="A22" s="957"/>
      <c r="B22" s="45" t="s">
        <v>94</v>
      </c>
      <c r="C22" s="947" t="s">
        <v>465</v>
      </c>
      <c r="D22" s="948"/>
      <c r="E22" s="948"/>
      <c r="F22" s="948"/>
      <c r="G22" s="948"/>
      <c r="H22" s="948"/>
      <c r="I22" s="948"/>
      <c r="J22" s="948"/>
      <c r="K22" s="948"/>
      <c r="L22" s="949"/>
    </row>
    <row r="23" spans="1:12" ht="15.75" customHeight="1">
      <c r="A23" s="957"/>
      <c r="B23" s="46" t="s">
        <v>96</v>
      </c>
      <c r="C23" s="950" t="s">
        <v>97</v>
      </c>
      <c r="D23" s="951"/>
      <c r="E23" s="951"/>
      <c r="F23" s="951"/>
      <c r="G23" s="951"/>
      <c r="H23" s="951"/>
      <c r="I23" s="951"/>
      <c r="J23" s="951"/>
      <c r="K23" s="951"/>
      <c r="L23" s="952"/>
    </row>
    <row r="24" spans="1:12" ht="37.5" customHeight="1">
      <c r="A24" s="957"/>
      <c r="B24" s="45" t="s">
        <v>98</v>
      </c>
      <c r="C24" s="47" t="s">
        <v>12</v>
      </c>
      <c r="D24" s="496" t="s">
        <v>99</v>
      </c>
      <c r="E24" s="47" t="s">
        <v>96</v>
      </c>
      <c r="F24" s="359" t="s">
        <v>100</v>
      </c>
      <c r="G24" s="48" t="s">
        <v>101</v>
      </c>
      <c r="H24" s="48" t="s">
        <v>102</v>
      </c>
      <c r="I24" s="48" t="s">
        <v>103</v>
      </c>
      <c r="J24" s="48" t="s">
        <v>104</v>
      </c>
      <c r="K24" s="48" t="s">
        <v>105</v>
      </c>
      <c r="L24" s="49" t="s">
        <v>106</v>
      </c>
    </row>
    <row r="25" spans="1:12" ht="15.75" customHeight="1">
      <c r="A25" s="957"/>
      <c r="B25" s="493" t="s">
        <v>107</v>
      </c>
      <c r="C25" s="494">
        <v>39385</v>
      </c>
      <c r="D25" s="497" t="s">
        <v>467</v>
      </c>
      <c r="E25" s="451" t="s">
        <v>127</v>
      </c>
      <c r="F25" s="498">
        <v>1</v>
      </c>
      <c r="G25" s="499">
        <v>1</v>
      </c>
      <c r="H25" s="495">
        <v>18.36</v>
      </c>
      <c r="I25" s="499">
        <v>0</v>
      </c>
      <c r="J25" s="463">
        <f>H25*F25</f>
        <v>18.36</v>
      </c>
      <c r="K25" s="461">
        <f>I25*F25</f>
        <v>0</v>
      </c>
      <c r="L25" s="467">
        <f>K25+J25</f>
        <v>18.36</v>
      </c>
    </row>
    <row r="26" spans="1:12" ht="15.75" customHeight="1">
      <c r="A26" s="957"/>
      <c r="B26" s="470" t="s">
        <v>133</v>
      </c>
      <c r="C26" s="451">
        <v>88316</v>
      </c>
      <c r="D26" s="579" t="s">
        <v>148</v>
      </c>
      <c r="E26" s="451" t="s">
        <v>116</v>
      </c>
      <c r="F26" s="460">
        <v>1</v>
      </c>
      <c r="G26" s="464">
        <v>8</v>
      </c>
      <c r="H26" s="464">
        <v>5.35</v>
      </c>
      <c r="I26" s="464">
        <v>15.95</v>
      </c>
      <c r="J26" s="463">
        <f>H26*F26</f>
        <v>5.35</v>
      </c>
      <c r="K26" s="461">
        <f>I26*F26</f>
        <v>15.95</v>
      </c>
      <c r="L26" s="467">
        <f>K26+J26</f>
        <v>21.299999999999997</v>
      </c>
    </row>
    <row r="27" spans="1:12" ht="15.75" customHeight="1" thickBot="1">
      <c r="A27" s="958"/>
      <c r="B27" s="953" t="s">
        <v>85</v>
      </c>
      <c r="C27" s="954"/>
      <c r="D27" s="954"/>
      <c r="E27" s="954"/>
      <c r="F27" s="954"/>
      <c r="G27" s="954"/>
      <c r="H27" s="954"/>
      <c r="I27" s="955"/>
      <c r="J27" s="500">
        <f>SUM(J25:J26)</f>
        <v>23.71</v>
      </c>
      <c r="K27" s="501">
        <f t="shared" ref="K27" si="8">SUM(K26)</f>
        <v>15.95</v>
      </c>
      <c r="L27" s="51">
        <f>SUM(J27:K27)</f>
        <v>39.659999999999997</v>
      </c>
    </row>
    <row r="28" spans="1:12" ht="15.75" customHeight="1" thickBot="1">
      <c r="A28" s="50"/>
      <c r="B28" s="354"/>
      <c r="C28" s="354"/>
      <c r="D28" s="355"/>
      <c r="E28" s="354"/>
      <c r="F28" s="354"/>
      <c r="G28" s="354"/>
      <c r="H28" s="354"/>
      <c r="I28" s="354"/>
      <c r="J28" s="354"/>
      <c r="K28" s="354"/>
      <c r="L28" s="354"/>
    </row>
    <row r="29" spans="1:12" ht="15.75" customHeight="1">
      <c r="A29" s="956" t="s">
        <v>491</v>
      </c>
      <c r="B29" s="43" t="s">
        <v>93</v>
      </c>
      <c r="C29" s="985" t="s">
        <v>141</v>
      </c>
      <c r="D29" s="945"/>
      <c r="E29" s="945"/>
      <c r="F29" s="945"/>
      <c r="G29" s="945"/>
      <c r="H29" s="945"/>
      <c r="I29" s="945"/>
      <c r="J29" s="945"/>
      <c r="K29" s="945"/>
      <c r="L29" s="946"/>
    </row>
    <row r="30" spans="1:12" ht="15.75" customHeight="1">
      <c r="A30" s="957"/>
      <c r="B30" s="45" t="s">
        <v>94</v>
      </c>
      <c r="C30" s="974" t="s">
        <v>142</v>
      </c>
      <c r="D30" s="948"/>
      <c r="E30" s="948"/>
      <c r="F30" s="948"/>
      <c r="G30" s="948"/>
      <c r="H30" s="948"/>
      <c r="I30" s="948"/>
      <c r="J30" s="948"/>
      <c r="K30" s="948"/>
      <c r="L30" s="949"/>
    </row>
    <row r="31" spans="1:12" ht="15.75" customHeight="1">
      <c r="A31" s="957"/>
      <c r="B31" s="46" t="s">
        <v>96</v>
      </c>
      <c r="C31" s="971" t="s">
        <v>97</v>
      </c>
      <c r="D31" s="951"/>
      <c r="E31" s="951"/>
      <c r="F31" s="951"/>
      <c r="G31" s="951"/>
      <c r="H31" s="951"/>
      <c r="I31" s="951"/>
      <c r="J31" s="951"/>
      <c r="K31" s="951"/>
      <c r="L31" s="952"/>
    </row>
    <row r="32" spans="1:12" ht="45">
      <c r="A32" s="957"/>
      <c r="B32" s="45" t="s">
        <v>98</v>
      </c>
      <c r="C32" s="47" t="s">
        <v>12</v>
      </c>
      <c r="D32" s="96" t="s">
        <v>99</v>
      </c>
      <c r="E32" s="47" t="s">
        <v>96</v>
      </c>
      <c r="F32" s="359" t="s">
        <v>100</v>
      </c>
      <c r="G32" s="48" t="s">
        <v>101</v>
      </c>
      <c r="H32" s="48" t="s">
        <v>102</v>
      </c>
      <c r="I32" s="48" t="s">
        <v>103</v>
      </c>
      <c r="J32" s="48" t="s">
        <v>104</v>
      </c>
      <c r="K32" s="48" t="s">
        <v>105</v>
      </c>
      <c r="L32" s="49" t="s">
        <v>106</v>
      </c>
    </row>
    <row r="33" spans="1:12" ht="15.75" customHeight="1">
      <c r="A33" s="957"/>
      <c r="B33" s="447" t="s">
        <v>107</v>
      </c>
      <c r="C33" s="450" t="s">
        <v>125</v>
      </c>
      <c r="D33" s="454" t="s">
        <v>142</v>
      </c>
      <c r="E33" s="450" t="s">
        <v>127</v>
      </c>
      <c r="F33" s="457">
        <v>1</v>
      </c>
      <c r="G33" s="461">
        <f>H33+I33</f>
        <v>48.8</v>
      </c>
      <c r="H33" s="461">
        <v>48.8</v>
      </c>
      <c r="I33" s="461">
        <v>0</v>
      </c>
      <c r="J33" s="461">
        <f t="shared" ref="J33:J34" si="9">H33*F33</f>
        <v>48.8</v>
      </c>
      <c r="K33" s="465">
        <f t="shared" ref="K33:K34" si="10">I33*F33</f>
        <v>0</v>
      </c>
      <c r="L33" s="466">
        <f t="shared" ref="L33:L34" si="11">K33+J33</f>
        <v>48.8</v>
      </c>
    </row>
    <row r="34" spans="1:12" ht="15.75" customHeight="1">
      <c r="A34" s="957"/>
      <c r="B34" s="470" t="s">
        <v>133</v>
      </c>
      <c r="C34" s="451">
        <v>95541</v>
      </c>
      <c r="D34" s="456" t="s">
        <v>134</v>
      </c>
      <c r="E34" s="451" t="s">
        <v>127</v>
      </c>
      <c r="F34" s="460">
        <v>1</v>
      </c>
      <c r="G34" s="464">
        <f>H34+I34</f>
        <v>4.97</v>
      </c>
      <c r="H34" s="464">
        <v>0.85</v>
      </c>
      <c r="I34" s="464">
        <v>4.12</v>
      </c>
      <c r="J34" s="463">
        <f t="shared" si="9"/>
        <v>0.85</v>
      </c>
      <c r="K34" s="461">
        <f t="shared" si="10"/>
        <v>4.12</v>
      </c>
      <c r="L34" s="467">
        <f t="shared" si="11"/>
        <v>4.97</v>
      </c>
    </row>
    <row r="35" spans="1:12" ht="15.75" customHeight="1" thickBot="1">
      <c r="A35" s="958"/>
      <c r="B35" s="953" t="s">
        <v>85</v>
      </c>
      <c r="C35" s="965"/>
      <c r="D35" s="965"/>
      <c r="E35" s="965"/>
      <c r="F35" s="965"/>
      <c r="G35" s="965"/>
      <c r="H35" s="965"/>
      <c r="I35" s="966"/>
      <c r="J35" s="52">
        <f t="shared" ref="J35:L35" si="12">SUM(J33:J34)</f>
        <v>49.65</v>
      </c>
      <c r="K35" s="52">
        <f t="shared" si="12"/>
        <v>4.12</v>
      </c>
      <c r="L35" s="51">
        <f t="shared" si="12"/>
        <v>53.769999999999996</v>
      </c>
    </row>
    <row r="36" spans="1:12" ht="15.75" customHeight="1" thickBot="1">
      <c r="A36" s="190"/>
      <c r="B36" s="191"/>
      <c r="C36" s="190"/>
      <c r="D36" s="190"/>
      <c r="E36" s="190"/>
      <c r="F36" s="190"/>
      <c r="G36" s="190"/>
      <c r="H36" s="190"/>
      <c r="I36" s="190"/>
      <c r="J36" s="192"/>
      <c r="K36" s="192"/>
      <c r="L36" s="192"/>
    </row>
    <row r="37" spans="1:12" ht="15.75" customHeight="1">
      <c r="A37" s="956" t="s">
        <v>490</v>
      </c>
      <c r="B37" s="43" t="s">
        <v>93</v>
      </c>
      <c r="C37" s="985" t="s">
        <v>141</v>
      </c>
      <c r="D37" s="960"/>
      <c r="E37" s="960"/>
      <c r="F37" s="960"/>
      <c r="G37" s="960"/>
      <c r="H37" s="960"/>
      <c r="I37" s="960"/>
      <c r="J37" s="960"/>
      <c r="K37" s="960"/>
      <c r="L37" s="961"/>
    </row>
    <row r="38" spans="1:12" ht="15.75" customHeight="1">
      <c r="A38" s="957"/>
      <c r="B38" s="45" t="s">
        <v>94</v>
      </c>
      <c r="C38" s="974" t="s">
        <v>263</v>
      </c>
      <c r="D38" s="948"/>
      <c r="E38" s="948"/>
      <c r="F38" s="948"/>
      <c r="G38" s="948"/>
      <c r="H38" s="948"/>
      <c r="I38" s="948"/>
      <c r="J38" s="948"/>
      <c r="K38" s="948"/>
      <c r="L38" s="949"/>
    </row>
    <row r="39" spans="1:12" ht="15.75" customHeight="1">
      <c r="A39" s="957"/>
      <c r="B39" s="46" t="s">
        <v>96</v>
      </c>
      <c r="C39" s="971" t="s">
        <v>97</v>
      </c>
      <c r="D39" s="951"/>
      <c r="E39" s="951"/>
      <c r="F39" s="951"/>
      <c r="G39" s="951"/>
      <c r="H39" s="951"/>
      <c r="I39" s="951"/>
      <c r="J39" s="951"/>
      <c r="K39" s="951"/>
      <c r="L39" s="952"/>
    </row>
    <row r="40" spans="1:12" ht="45">
      <c r="A40" s="957"/>
      <c r="B40" s="45" t="s">
        <v>98</v>
      </c>
      <c r="C40" s="47" t="s">
        <v>12</v>
      </c>
      <c r="D40" s="96" t="s">
        <v>99</v>
      </c>
      <c r="E40" s="47" t="s">
        <v>96</v>
      </c>
      <c r="F40" s="359" t="s">
        <v>100</v>
      </c>
      <c r="G40" s="48" t="s">
        <v>101</v>
      </c>
      <c r="H40" s="48" t="s">
        <v>102</v>
      </c>
      <c r="I40" s="48" t="s">
        <v>103</v>
      </c>
      <c r="J40" s="48" t="s">
        <v>104</v>
      </c>
      <c r="K40" s="48" t="s">
        <v>105</v>
      </c>
      <c r="L40" s="49" t="s">
        <v>106</v>
      </c>
    </row>
    <row r="41" spans="1:12" ht="15.75" customHeight="1">
      <c r="A41" s="957"/>
      <c r="B41" s="447" t="s">
        <v>107</v>
      </c>
      <c r="C41" s="450">
        <v>37400</v>
      </c>
      <c r="D41" s="454" t="s">
        <v>263</v>
      </c>
      <c r="E41" s="450" t="s">
        <v>127</v>
      </c>
      <c r="F41" s="457">
        <v>1</v>
      </c>
      <c r="G41" s="461">
        <f>H41+I41</f>
        <v>38</v>
      </c>
      <c r="H41" s="461">
        <v>38</v>
      </c>
      <c r="I41" s="461">
        <v>0</v>
      </c>
      <c r="J41" s="465">
        <f t="shared" ref="J41:J42" si="13">H41*F41</f>
        <v>38</v>
      </c>
      <c r="K41" s="465">
        <f t="shared" ref="K41:K42" si="14">I41*F41</f>
        <v>0</v>
      </c>
      <c r="L41" s="466">
        <f t="shared" ref="L41:L42" si="15">K41+J41</f>
        <v>38</v>
      </c>
    </row>
    <row r="42" spans="1:12" ht="15.75" customHeight="1">
      <c r="A42" s="957"/>
      <c r="B42" s="470" t="s">
        <v>133</v>
      </c>
      <c r="C42" s="451">
        <v>95541</v>
      </c>
      <c r="D42" s="456" t="s">
        <v>134</v>
      </c>
      <c r="E42" s="451" t="s">
        <v>127</v>
      </c>
      <c r="F42" s="460">
        <v>1</v>
      </c>
      <c r="G42" s="464">
        <f>H42+I42</f>
        <v>4.97</v>
      </c>
      <c r="H42" s="464">
        <v>0.85</v>
      </c>
      <c r="I42" s="464">
        <v>4.12</v>
      </c>
      <c r="J42" s="461">
        <f t="shared" si="13"/>
        <v>0.85</v>
      </c>
      <c r="K42" s="461">
        <f t="shared" si="14"/>
        <v>4.12</v>
      </c>
      <c r="L42" s="467">
        <f t="shared" si="15"/>
        <v>4.97</v>
      </c>
    </row>
    <row r="43" spans="1:12" ht="15.75" customHeight="1" thickBot="1">
      <c r="A43" s="958"/>
      <c r="B43" s="953" t="s">
        <v>85</v>
      </c>
      <c r="C43" s="954"/>
      <c r="D43" s="954"/>
      <c r="E43" s="954"/>
      <c r="F43" s="954"/>
      <c r="G43" s="954"/>
      <c r="H43" s="954"/>
      <c r="I43" s="955"/>
      <c r="J43" s="52">
        <f t="shared" ref="J43:L43" si="16">SUM(J41:J42)</f>
        <v>38.85</v>
      </c>
      <c r="K43" s="52">
        <f t="shared" si="16"/>
        <v>4.12</v>
      </c>
      <c r="L43" s="51">
        <f t="shared" si="16"/>
        <v>42.97</v>
      </c>
    </row>
    <row r="44" spans="1:12" ht="15.75" customHeight="1" thickBot="1">
      <c r="B44" s="354"/>
      <c r="C44" s="354"/>
      <c r="D44" s="355"/>
      <c r="E44" s="354"/>
      <c r="F44" s="354"/>
      <c r="G44" s="354"/>
      <c r="H44" s="354"/>
      <c r="I44" s="354"/>
      <c r="J44" s="354"/>
      <c r="K44" s="354"/>
      <c r="L44" s="354"/>
    </row>
    <row r="45" spans="1:12" ht="15.75" customHeight="1">
      <c r="A45" s="956" t="s">
        <v>501</v>
      </c>
      <c r="B45" s="430" t="s">
        <v>93</v>
      </c>
      <c r="C45" s="944" t="s">
        <v>457</v>
      </c>
      <c r="D45" s="945"/>
      <c r="E45" s="945"/>
      <c r="F45" s="945"/>
      <c r="G45" s="945"/>
      <c r="H45" s="945"/>
      <c r="I45" s="945"/>
      <c r="J45" s="945"/>
      <c r="K45" s="945"/>
      <c r="L45" s="946"/>
    </row>
    <row r="46" spans="1:12" ht="15.75" customHeight="1">
      <c r="A46" s="957"/>
      <c r="B46" s="45" t="s">
        <v>94</v>
      </c>
      <c r="C46" s="947" t="s">
        <v>458</v>
      </c>
      <c r="D46" s="948"/>
      <c r="E46" s="948"/>
      <c r="F46" s="948"/>
      <c r="G46" s="948"/>
      <c r="H46" s="948"/>
      <c r="I46" s="948"/>
      <c r="J46" s="948"/>
      <c r="K46" s="948"/>
      <c r="L46" s="949"/>
    </row>
    <row r="47" spans="1:12" ht="15.75" customHeight="1">
      <c r="A47" s="957"/>
      <c r="B47" s="46" t="s">
        <v>96</v>
      </c>
      <c r="C47" s="950" t="s">
        <v>127</v>
      </c>
      <c r="D47" s="951"/>
      <c r="E47" s="951"/>
      <c r="F47" s="951"/>
      <c r="G47" s="951"/>
      <c r="H47" s="951"/>
      <c r="I47" s="951"/>
      <c r="J47" s="951"/>
      <c r="K47" s="951"/>
      <c r="L47" s="952"/>
    </row>
    <row r="48" spans="1:12" ht="45">
      <c r="A48" s="957"/>
      <c r="B48" s="45" t="s">
        <v>98</v>
      </c>
      <c r="C48" s="47" t="s">
        <v>12</v>
      </c>
      <c r="D48" s="96" t="s">
        <v>99</v>
      </c>
      <c r="E48" s="47" t="s">
        <v>96</v>
      </c>
      <c r="F48" s="359" t="s">
        <v>100</v>
      </c>
      <c r="G48" s="48" t="s">
        <v>101</v>
      </c>
      <c r="H48" s="48" t="s">
        <v>102</v>
      </c>
      <c r="I48" s="48" t="s">
        <v>103</v>
      </c>
      <c r="J48" s="48" t="s">
        <v>104</v>
      </c>
      <c r="K48" s="48" t="s">
        <v>105</v>
      </c>
      <c r="L48" s="49" t="s">
        <v>106</v>
      </c>
    </row>
    <row r="49" spans="1:12" ht="14.25">
      <c r="A49" s="957"/>
      <c r="B49" s="488" t="s">
        <v>107</v>
      </c>
      <c r="C49" s="487">
        <v>11186</v>
      </c>
      <c r="D49" s="486" t="s">
        <v>458</v>
      </c>
      <c r="E49" s="451" t="s">
        <v>127</v>
      </c>
      <c r="F49" s="489">
        <v>1</v>
      </c>
      <c r="G49" s="464">
        <f>H49+I49</f>
        <v>301</v>
      </c>
      <c r="H49" s="490">
        <v>301</v>
      </c>
      <c r="I49" s="490">
        <v>0</v>
      </c>
      <c r="J49" s="461">
        <f t="shared" ref="J49:J50" si="17">H49*F49</f>
        <v>301</v>
      </c>
      <c r="K49" s="461">
        <f t="shared" ref="K49:K50" si="18">I49*F49</f>
        <v>0</v>
      </c>
      <c r="L49" s="467">
        <f t="shared" ref="L49:L50" si="19">K49+J49</f>
        <v>301</v>
      </c>
    </row>
    <row r="50" spans="1:12" ht="15.75" customHeight="1">
      <c r="A50" s="957"/>
      <c r="B50" s="470" t="s">
        <v>133</v>
      </c>
      <c r="C50" s="451">
        <v>95541</v>
      </c>
      <c r="D50" s="456" t="s">
        <v>134</v>
      </c>
      <c r="E50" s="451" t="s">
        <v>127</v>
      </c>
      <c r="F50" s="460">
        <v>1</v>
      </c>
      <c r="G50" s="464">
        <f>H50+I50</f>
        <v>4.97</v>
      </c>
      <c r="H50" s="464">
        <v>0.85</v>
      </c>
      <c r="I50" s="464">
        <v>4.12</v>
      </c>
      <c r="J50" s="461">
        <f t="shared" si="17"/>
        <v>0.85</v>
      </c>
      <c r="K50" s="461">
        <f t="shared" si="18"/>
        <v>4.12</v>
      </c>
      <c r="L50" s="467">
        <f t="shared" si="19"/>
        <v>4.97</v>
      </c>
    </row>
    <row r="51" spans="1:12" ht="15.75" customHeight="1" thickBot="1">
      <c r="A51" s="958"/>
      <c r="B51" s="953" t="s">
        <v>85</v>
      </c>
      <c r="C51" s="954"/>
      <c r="D51" s="954"/>
      <c r="E51" s="954"/>
      <c r="F51" s="954"/>
      <c r="G51" s="954"/>
      <c r="H51" s="954"/>
      <c r="I51" s="955"/>
      <c r="J51" s="52">
        <f>SUM(J49:J50)</f>
        <v>301.85000000000002</v>
      </c>
      <c r="K51" s="52">
        <f>SUM(K49:K50)</f>
        <v>4.12</v>
      </c>
      <c r="L51" s="51">
        <f>SUM(J51,K51)</f>
        <v>305.97000000000003</v>
      </c>
    </row>
    <row r="52" spans="1:12" ht="15.75" customHeight="1" thickBot="1"/>
    <row r="53" spans="1:12" ht="15.75" customHeight="1">
      <c r="A53" s="956" t="s">
        <v>172</v>
      </c>
      <c r="B53" s="430" t="s">
        <v>93</v>
      </c>
      <c r="C53" s="944" t="s">
        <v>461</v>
      </c>
      <c r="D53" s="945"/>
      <c r="E53" s="945"/>
      <c r="F53" s="945"/>
      <c r="G53" s="945"/>
      <c r="H53" s="945"/>
      <c r="I53" s="945"/>
      <c r="J53" s="945"/>
      <c r="K53" s="945"/>
      <c r="L53" s="946"/>
    </row>
    <row r="54" spans="1:12" ht="15.75" customHeight="1">
      <c r="A54" s="957"/>
      <c r="B54" s="45" t="s">
        <v>94</v>
      </c>
      <c r="C54" s="947" t="s">
        <v>460</v>
      </c>
      <c r="D54" s="948"/>
      <c r="E54" s="948"/>
      <c r="F54" s="948"/>
      <c r="G54" s="948"/>
      <c r="H54" s="948"/>
      <c r="I54" s="948"/>
      <c r="J54" s="948"/>
      <c r="K54" s="948"/>
      <c r="L54" s="949"/>
    </row>
    <row r="55" spans="1:12" ht="15.75" customHeight="1">
      <c r="A55" s="957"/>
      <c r="B55" s="46" t="s">
        <v>96</v>
      </c>
      <c r="C55" s="950" t="s">
        <v>116</v>
      </c>
      <c r="D55" s="951"/>
      <c r="E55" s="951"/>
      <c r="F55" s="951"/>
      <c r="G55" s="951"/>
      <c r="H55" s="951"/>
      <c r="I55" s="951"/>
      <c r="J55" s="951"/>
      <c r="K55" s="951"/>
      <c r="L55" s="952"/>
    </row>
    <row r="56" spans="1:12" ht="27.75" customHeight="1">
      <c r="A56" s="957"/>
      <c r="B56" s="45" t="s">
        <v>98</v>
      </c>
      <c r="C56" s="47" t="s">
        <v>12</v>
      </c>
      <c r="D56" s="496" t="s">
        <v>99</v>
      </c>
      <c r="E56" s="47" t="s">
        <v>96</v>
      </c>
      <c r="F56" s="359" t="s">
        <v>100</v>
      </c>
      <c r="G56" s="48" t="s">
        <v>101</v>
      </c>
      <c r="H56" s="48" t="s">
        <v>102</v>
      </c>
      <c r="I56" s="48" t="s">
        <v>103</v>
      </c>
      <c r="J56" s="48" t="s">
        <v>104</v>
      </c>
      <c r="K56" s="48" t="s">
        <v>105</v>
      </c>
      <c r="L56" s="49" t="s">
        <v>106</v>
      </c>
    </row>
    <row r="57" spans="1:12" ht="29.25" customHeight="1">
      <c r="A57" s="957"/>
      <c r="B57" s="493" t="s">
        <v>107</v>
      </c>
      <c r="C57" s="494">
        <v>41629</v>
      </c>
      <c r="D57" s="497" t="s">
        <v>460</v>
      </c>
      <c r="E57" s="451" t="s">
        <v>127</v>
      </c>
      <c r="F57" s="498">
        <v>1</v>
      </c>
      <c r="G57" s="499">
        <v>1</v>
      </c>
      <c r="H57" s="495">
        <v>407.76</v>
      </c>
      <c r="I57" s="499">
        <v>0</v>
      </c>
      <c r="J57" s="463">
        <f>H57*F57</f>
        <v>407.76</v>
      </c>
      <c r="K57" s="461">
        <f>I57*F57</f>
        <v>0</v>
      </c>
      <c r="L57" s="467">
        <f>K57+J57</f>
        <v>407.76</v>
      </c>
    </row>
    <row r="58" spans="1:12" ht="15.75" customHeight="1">
      <c r="A58" s="957"/>
      <c r="B58" s="470" t="s">
        <v>133</v>
      </c>
      <c r="C58" s="451">
        <v>88316</v>
      </c>
      <c r="D58" s="456" t="s">
        <v>148</v>
      </c>
      <c r="E58" s="451" t="s">
        <v>116</v>
      </c>
      <c r="F58" s="460">
        <v>1</v>
      </c>
      <c r="G58" s="464">
        <v>8</v>
      </c>
      <c r="H58" s="464">
        <v>5.35</v>
      </c>
      <c r="I58" s="464">
        <v>13.74</v>
      </c>
      <c r="J58" s="463">
        <f>H58*F58</f>
        <v>5.35</v>
      </c>
      <c r="K58" s="461">
        <f>I58*F58</f>
        <v>13.74</v>
      </c>
      <c r="L58" s="467">
        <f>K58+J58</f>
        <v>19.09</v>
      </c>
    </row>
    <row r="59" spans="1:12" ht="15.75" customHeight="1" thickBot="1">
      <c r="A59" s="958"/>
      <c r="B59" s="953" t="s">
        <v>85</v>
      </c>
      <c r="C59" s="954"/>
      <c r="D59" s="954"/>
      <c r="E59" s="954"/>
      <c r="F59" s="954"/>
      <c r="G59" s="954"/>
      <c r="H59" s="954"/>
      <c r="I59" s="955"/>
      <c r="J59" s="500">
        <f>SUM(J57:J58)</f>
        <v>413.11</v>
      </c>
      <c r="K59" s="501">
        <f t="shared" ref="K59" si="20">SUM(K58)</f>
        <v>13.74</v>
      </c>
      <c r="L59" s="51">
        <f>SUM(J59:K59)</f>
        <v>426.85</v>
      </c>
    </row>
    <row r="60" spans="1:12" ht="15.75" customHeight="1" thickBot="1"/>
    <row r="61" spans="1:12" ht="15.75" customHeight="1">
      <c r="A61" s="956" t="s">
        <v>190</v>
      </c>
      <c r="B61" s="430" t="s">
        <v>93</v>
      </c>
      <c r="C61" s="944" t="s">
        <v>463</v>
      </c>
      <c r="D61" s="945"/>
      <c r="E61" s="945"/>
      <c r="F61" s="945"/>
      <c r="G61" s="945"/>
      <c r="H61" s="945"/>
      <c r="I61" s="945"/>
      <c r="J61" s="945"/>
      <c r="K61" s="945"/>
      <c r="L61" s="946"/>
    </row>
    <row r="62" spans="1:12" ht="15.75" customHeight="1">
      <c r="A62" s="957"/>
      <c r="B62" s="45" t="s">
        <v>94</v>
      </c>
      <c r="C62" s="947" t="s">
        <v>462</v>
      </c>
      <c r="D62" s="948"/>
      <c r="E62" s="948"/>
      <c r="F62" s="948"/>
      <c r="G62" s="948"/>
      <c r="H62" s="948"/>
      <c r="I62" s="948"/>
      <c r="J62" s="948"/>
      <c r="K62" s="948"/>
      <c r="L62" s="949"/>
    </row>
    <row r="63" spans="1:12" ht="15.75" customHeight="1">
      <c r="A63" s="957"/>
      <c r="B63" s="46" t="s">
        <v>96</v>
      </c>
      <c r="C63" s="950" t="s">
        <v>116</v>
      </c>
      <c r="D63" s="951"/>
      <c r="E63" s="951"/>
      <c r="F63" s="951"/>
      <c r="G63" s="951"/>
      <c r="H63" s="951"/>
      <c r="I63" s="951"/>
      <c r="J63" s="951"/>
      <c r="K63" s="951"/>
      <c r="L63" s="952"/>
    </row>
    <row r="64" spans="1:12" ht="42.75" customHeight="1">
      <c r="A64" s="957"/>
      <c r="B64" s="45" t="s">
        <v>98</v>
      </c>
      <c r="C64" s="47" t="s">
        <v>12</v>
      </c>
      <c r="D64" s="496" t="s">
        <v>99</v>
      </c>
      <c r="E64" s="47" t="s">
        <v>96</v>
      </c>
      <c r="F64" s="359" t="s">
        <v>100</v>
      </c>
      <c r="G64" s="48" t="s">
        <v>101</v>
      </c>
      <c r="H64" s="48" t="s">
        <v>102</v>
      </c>
      <c r="I64" s="48" t="s">
        <v>103</v>
      </c>
      <c r="J64" s="48" t="s">
        <v>104</v>
      </c>
      <c r="K64" s="48" t="s">
        <v>105</v>
      </c>
      <c r="L64" s="49" t="s">
        <v>106</v>
      </c>
    </row>
    <row r="65" spans="1:26" ht="15.75" customHeight="1">
      <c r="A65" s="957"/>
      <c r="B65" s="493" t="s">
        <v>107</v>
      </c>
      <c r="C65" s="494">
        <v>11741</v>
      </c>
      <c r="D65" s="497" t="s">
        <v>462</v>
      </c>
      <c r="E65" s="451" t="s">
        <v>127</v>
      </c>
      <c r="F65" s="498">
        <v>1</v>
      </c>
      <c r="G65" s="499">
        <v>1</v>
      </c>
      <c r="H65" s="495">
        <v>12.8</v>
      </c>
      <c r="I65" s="499">
        <v>0</v>
      </c>
      <c r="J65" s="463">
        <f>H65*F65</f>
        <v>12.8</v>
      </c>
      <c r="K65" s="461">
        <f>I65*F65</f>
        <v>0</v>
      </c>
      <c r="L65" s="467">
        <f>K65+J65</f>
        <v>12.8</v>
      </c>
    </row>
    <row r="66" spans="1:26" ht="15.75" customHeight="1">
      <c r="A66" s="957"/>
      <c r="B66" s="470" t="s">
        <v>133</v>
      </c>
      <c r="C66" s="451">
        <v>88316</v>
      </c>
      <c r="D66" s="456" t="s">
        <v>148</v>
      </c>
      <c r="E66" s="451" t="s">
        <v>116</v>
      </c>
      <c r="F66" s="460">
        <v>1</v>
      </c>
      <c r="G66" s="464">
        <v>8</v>
      </c>
      <c r="H66" s="464">
        <v>5.35</v>
      </c>
      <c r="I66" s="464">
        <v>13.74</v>
      </c>
      <c r="J66" s="463">
        <f>H66*F66</f>
        <v>5.35</v>
      </c>
      <c r="K66" s="461">
        <f>I66*F66</f>
        <v>13.74</v>
      </c>
      <c r="L66" s="467">
        <f>K66+J66</f>
        <v>19.09</v>
      </c>
    </row>
    <row r="67" spans="1:26" ht="15.75" customHeight="1" thickBot="1">
      <c r="A67" s="958"/>
      <c r="B67" s="953" t="s">
        <v>85</v>
      </c>
      <c r="C67" s="954"/>
      <c r="D67" s="954"/>
      <c r="E67" s="954"/>
      <c r="F67" s="954"/>
      <c r="G67" s="954"/>
      <c r="H67" s="954"/>
      <c r="I67" s="955"/>
      <c r="J67" s="500">
        <f>SUM(J65:J66)</f>
        <v>18.149999999999999</v>
      </c>
      <c r="K67" s="501">
        <f t="shared" ref="K67" si="21">SUM(K66)</f>
        <v>13.74</v>
      </c>
      <c r="L67" s="51">
        <f>SUM(J67:K67)</f>
        <v>31.89</v>
      </c>
    </row>
    <row r="68" spans="1:26" ht="15.75" customHeight="1" thickBot="1"/>
    <row r="69" spans="1:26" ht="15.75" customHeight="1">
      <c r="A69" s="956" t="s">
        <v>203</v>
      </c>
      <c r="B69" s="430" t="s">
        <v>93</v>
      </c>
      <c r="C69" s="990" t="s">
        <v>153</v>
      </c>
      <c r="D69" s="991"/>
      <c r="E69" s="991"/>
      <c r="F69" s="991"/>
      <c r="G69" s="991"/>
      <c r="H69" s="991"/>
      <c r="I69" s="991"/>
      <c r="J69" s="991"/>
      <c r="K69" s="991"/>
      <c r="L69" s="992"/>
    </row>
    <row r="70" spans="1:26" ht="26.25" customHeight="1">
      <c r="A70" s="957"/>
      <c r="B70" s="544" t="s">
        <v>94</v>
      </c>
      <c r="C70" s="986" t="s">
        <v>154</v>
      </c>
      <c r="D70" s="987"/>
      <c r="E70" s="987"/>
      <c r="F70" s="987"/>
      <c r="G70" s="987"/>
      <c r="H70" s="987"/>
      <c r="I70" s="987"/>
      <c r="J70" s="987"/>
      <c r="K70" s="987"/>
      <c r="L70" s="988"/>
    </row>
    <row r="71" spans="1:26" ht="15.75" customHeight="1">
      <c r="A71" s="957"/>
      <c r="B71" s="545" t="s">
        <v>96</v>
      </c>
      <c r="C71" s="989" t="s">
        <v>14</v>
      </c>
      <c r="D71" s="951"/>
      <c r="E71" s="951"/>
      <c r="F71" s="951"/>
      <c r="G71" s="951"/>
      <c r="H71" s="951"/>
      <c r="I71" s="951"/>
      <c r="J71" s="951"/>
      <c r="K71" s="951"/>
      <c r="L71" s="952"/>
      <c r="M71" s="354"/>
      <c r="N71" s="354"/>
      <c r="O71" s="354"/>
      <c r="P71" s="354"/>
      <c r="Q71" s="354"/>
      <c r="R71" s="354"/>
      <c r="S71" s="354"/>
    </row>
    <row r="72" spans="1:26" ht="45" customHeight="1">
      <c r="A72" s="957"/>
      <c r="B72" s="544" t="s">
        <v>98</v>
      </c>
      <c r="C72" s="45" t="s">
        <v>12</v>
      </c>
      <c r="D72" s="96" t="s">
        <v>99</v>
      </c>
      <c r="E72" s="47" t="s">
        <v>96</v>
      </c>
      <c r="F72" s="47" t="s">
        <v>100</v>
      </c>
      <c r="G72" s="48" t="s">
        <v>145</v>
      </c>
      <c r="H72" s="48" t="s">
        <v>102</v>
      </c>
      <c r="I72" s="48" t="s">
        <v>103</v>
      </c>
      <c r="J72" s="48" t="s">
        <v>104</v>
      </c>
      <c r="K72" s="48" t="s">
        <v>105</v>
      </c>
      <c r="L72" s="49" t="s">
        <v>106</v>
      </c>
      <c r="M72" s="354"/>
      <c r="N72" s="354"/>
      <c r="O72" s="354"/>
      <c r="P72" s="354"/>
      <c r="Q72" s="354"/>
      <c r="R72" s="354"/>
      <c r="S72" s="354"/>
    </row>
    <row r="73" spans="1:26" ht="45.75" customHeight="1">
      <c r="A73" s="957"/>
      <c r="B73" s="410" t="s">
        <v>133</v>
      </c>
      <c r="C73" s="415">
        <v>5678</v>
      </c>
      <c r="D73" s="431" t="s">
        <v>468</v>
      </c>
      <c r="E73" s="415" t="s">
        <v>157</v>
      </c>
      <c r="F73" s="551">
        <v>0.50749999999999995</v>
      </c>
      <c r="G73" s="552">
        <f t="shared" ref="G73:G81" si="22">H73+I73</f>
        <v>152.38</v>
      </c>
      <c r="H73" s="552">
        <v>122.07</v>
      </c>
      <c r="I73" s="552">
        <v>30.31</v>
      </c>
      <c r="J73" s="553">
        <f t="shared" ref="J73:J81" si="23">H73*F73</f>
        <v>61.950524999999992</v>
      </c>
      <c r="K73" s="552">
        <f t="shared" ref="K73:K81" si="24">I73*F73</f>
        <v>15.382324999999998</v>
      </c>
      <c r="L73" s="427">
        <f t="shared" ref="L73:L81" si="25">K73+J73</f>
        <v>77.332849999999993</v>
      </c>
      <c r="M73" s="354"/>
      <c r="N73" s="354"/>
      <c r="O73" s="354"/>
      <c r="P73" s="354"/>
      <c r="Q73" s="354"/>
      <c r="R73" s="354"/>
      <c r="S73" s="354"/>
      <c r="T73" s="354"/>
      <c r="U73" s="354"/>
      <c r="V73" s="354"/>
      <c r="W73" s="354"/>
      <c r="X73" s="354"/>
      <c r="Y73" s="354"/>
      <c r="Z73" s="354"/>
    </row>
    <row r="74" spans="1:26" ht="60" customHeight="1">
      <c r="A74" s="957"/>
      <c r="B74" s="411" t="s">
        <v>133</v>
      </c>
      <c r="C74" s="414">
        <v>5679</v>
      </c>
      <c r="D74" s="416" t="s">
        <v>161</v>
      </c>
      <c r="E74" s="414" t="s">
        <v>162</v>
      </c>
      <c r="F74" s="554">
        <v>1.7072000000000001</v>
      </c>
      <c r="G74" s="555">
        <f t="shared" si="22"/>
        <v>66.41</v>
      </c>
      <c r="H74" s="555">
        <v>36.1</v>
      </c>
      <c r="I74" s="555">
        <v>30.31</v>
      </c>
      <c r="J74" s="550">
        <f t="shared" si="23"/>
        <v>61.629920000000006</v>
      </c>
      <c r="K74" s="549">
        <f t="shared" si="24"/>
        <v>51.745232000000001</v>
      </c>
      <c r="L74" s="427">
        <f t="shared" si="25"/>
        <v>113.37515200000001</v>
      </c>
      <c r="M74" s="354"/>
      <c r="N74" s="354"/>
      <c r="O74" s="354"/>
      <c r="P74" s="354"/>
      <c r="Q74" s="354"/>
      <c r="R74" s="354"/>
      <c r="S74" s="354"/>
      <c r="T74" s="354"/>
      <c r="U74" s="354"/>
      <c r="V74" s="354"/>
      <c r="W74" s="354"/>
      <c r="X74" s="354"/>
      <c r="Y74" s="354"/>
      <c r="Z74" s="354"/>
    </row>
    <row r="75" spans="1:26" ht="15.75" customHeight="1">
      <c r="A75" s="957"/>
      <c r="B75" s="562" t="s">
        <v>133</v>
      </c>
      <c r="C75" s="414">
        <v>12565</v>
      </c>
      <c r="D75" s="416" t="s">
        <v>163</v>
      </c>
      <c r="E75" s="414" t="s">
        <v>127</v>
      </c>
      <c r="F75" s="554">
        <v>4</v>
      </c>
      <c r="G75" s="555">
        <f t="shared" si="22"/>
        <v>702.74</v>
      </c>
      <c r="H75" s="555">
        <v>702.74</v>
      </c>
      <c r="I75" s="555">
        <v>0</v>
      </c>
      <c r="J75" s="547">
        <f t="shared" si="23"/>
        <v>2810.96</v>
      </c>
      <c r="K75" s="546">
        <f t="shared" si="24"/>
        <v>0</v>
      </c>
      <c r="L75" s="427">
        <f t="shared" si="25"/>
        <v>2810.96</v>
      </c>
      <c r="M75" s="357"/>
      <c r="N75" s="357"/>
      <c r="O75" s="357"/>
      <c r="P75" s="357"/>
      <c r="Q75" s="357"/>
      <c r="R75" s="357"/>
      <c r="S75" s="357"/>
      <c r="T75" s="357"/>
      <c r="U75" s="357"/>
      <c r="V75" s="357"/>
      <c r="W75" s="357"/>
      <c r="X75" s="357"/>
      <c r="Y75" s="357"/>
      <c r="Z75" s="357"/>
    </row>
    <row r="76" spans="1:26" ht="15.75" customHeight="1">
      <c r="A76" s="957"/>
      <c r="B76" s="411" t="s">
        <v>133</v>
      </c>
      <c r="C76" s="414">
        <v>88309</v>
      </c>
      <c r="D76" s="416" t="s">
        <v>152</v>
      </c>
      <c r="E76" s="414" t="s">
        <v>116</v>
      </c>
      <c r="F76" s="554">
        <v>4.7882999999999996</v>
      </c>
      <c r="G76" s="555">
        <f t="shared" si="22"/>
        <v>25.81</v>
      </c>
      <c r="H76" s="555">
        <v>5.52</v>
      </c>
      <c r="I76" s="555">
        <v>20.29</v>
      </c>
      <c r="J76" s="547">
        <f t="shared" si="23"/>
        <v>26.431415999999995</v>
      </c>
      <c r="K76" s="546">
        <f t="shared" si="24"/>
        <v>97.154606999999984</v>
      </c>
      <c r="L76" s="427">
        <f t="shared" si="25"/>
        <v>123.58602299999998</v>
      </c>
      <c r="M76" s="354"/>
      <c r="N76" s="354"/>
      <c r="O76" s="354"/>
      <c r="P76" s="354"/>
      <c r="Q76" s="354"/>
      <c r="R76" s="354"/>
      <c r="S76" s="354"/>
      <c r="T76" s="354"/>
      <c r="U76" s="354"/>
      <c r="V76" s="354"/>
      <c r="W76" s="354"/>
      <c r="X76" s="354"/>
      <c r="Y76" s="354"/>
      <c r="Z76" s="354"/>
    </row>
    <row r="77" spans="1:26" ht="15.75" customHeight="1">
      <c r="A77" s="957"/>
      <c r="B77" s="411" t="s">
        <v>133</v>
      </c>
      <c r="C77" s="414">
        <v>88316</v>
      </c>
      <c r="D77" s="416" t="s">
        <v>148</v>
      </c>
      <c r="E77" s="414" t="s">
        <v>116</v>
      </c>
      <c r="F77" s="554">
        <v>4.7882999999999996</v>
      </c>
      <c r="G77" s="555">
        <f t="shared" si="22"/>
        <v>21.299999999999997</v>
      </c>
      <c r="H77" s="555">
        <v>5.35</v>
      </c>
      <c r="I77" s="555">
        <v>15.95</v>
      </c>
      <c r="J77" s="547">
        <f t="shared" si="23"/>
        <v>25.617404999999994</v>
      </c>
      <c r="K77" s="546">
        <f t="shared" si="24"/>
        <v>76.373384999999985</v>
      </c>
      <c r="L77" s="427">
        <f t="shared" si="25"/>
        <v>101.99078999999998</v>
      </c>
      <c r="M77" s="354"/>
      <c r="N77" s="354"/>
      <c r="O77" s="354"/>
      <c r="P77" s="354"/>
      <c r="Q77" s="354"/>
      <c r="R77" s="354"/>
      <c r="S77" s="354"/>
      <c r="T77" s="354"/>
      <c r="U77" s="354"/>
      <c r="V77" s="354"/>
      <c r="W77" s="354"/>
      <c r="X77" s="354"/>
      <c r="Y77" s="354"/>
      <c r="Z77" s="354"/>
    </row>
    <row r="78" spans="1:26" ht="47.25" customHeight="1">
      <c r="A78" s="957"/>
      <c r="B78" s="411" t="s">
        <v>133</v>
      </c>
      <c r="C78" s="414">
        <v>101621</v>
      </c>
      <c r="D78" s="416" t="s">
        <v>164</v>
      </c>
      <c r="E78" s="414" t="s">
        <v>4</v>
      </c>
      <c r="F78" s="554">
        <v>0.37330000000000002</v>
      </c>
      <c r="G78" s="555">
        <f t="shared" si="22"/>
        <v>215.53</v>
      </c>
      <c r="H78" s="555">
        <v>120.67</v>
      </c>
      <c r="I78" s="555">
        <v>94.86</v>
      </c>
      <c r="J78" s="547">
        <f t="shared" si="23"/>
        <v>45.046111000000003</v>
      </c>
      <c r="K78" s="546">
        <f t="shared" si="24"/>
        <v>35.411238000000004</v>
      </c>
      <c r="L78" s="427">
        <f t="shared" si="25"/>
        <v>80.457349000000008</v>
      </c>
      <c r="M78" s="354"/>
      <c r="N78" s="354"/>
      <c r="O78" s="354"/>
      <c r="P78" s="354"/>
      <c r="Q78" s="354"/>
      <c r="R78" s="354"/>
      <c r="S78" s="354"/>
      <c r="T78" s="354"/>
      <c r="U78" s="354"/>
      <c r="V78" s="354"/>
      <c r="W78" s="354"/>
      <c r="X78" s="354"/>
      <c r="Y78" s="354"/>
      <c r="Z78" s="354"/>
    </row>
    <row r="79" spans="1:26" ht="30.75" customHeight="1">
      <c r="A79" s="957"/>
      <c r="B79" s="448" t="s">
        <v>133</v>
      </c>
      <c r="C79" s="453">
        <v>97738</v>
      </c>
      <c r="D79" s="455" t="s">
        <v>165</v>
      </c>
      <c r="E79" s="453" t="s">
        <v>4</v>
      </c>
      <c r="F79" s="458">
        <v>1.54E-2</v>
      </c>
      <c r="G79" s="462">
        <f t="shared" si="22"/>
        <v>6325.58</v>
      </c>
      <c r="H79" s="462">
        <v>4505.8100000000004</v>
      </c>
      <c r="I79" s="462">
        <v>1819.77</v>
      </c>
      <c r="J79" s="548">
        <f t="shared" si="23"/>
        <v>69.389474000000007</v>
      </c>
      <c r="K79" s="465">
        <f t="shared" si="24"/>
        <v>28.024457999999999</v>
      </c>
      <c r="L79" s="466">
        <f t="shared" si="25"/>
        <v>97.413932000000003</v>
      </c>
      <c r="M79" s="354"/>
      <c r="N79" s="354"/>
      <c r="O79" s="354"/>
      <c r="P79" s="354"/>
      <c r="Q79" s="354"/>
      <c r="R79" s="354"/>
      <c r="S79" s="354"/>
      <c r="T79" s="354"/>
      <c r="U79" s="354"/>
      <c r="V79" s="354"/>
      <c r="W79" s="354"/>
      <c r="X79" s="354"/>
      <c r="Y79" s="354"/>
      <c r="Z79" s="354"/>
    </row>
    <row r="80" spans="1:26" ht="30.75" customHeight="1">
      <c r="A80" s="957"/>
      <c r="B80" s="448" t="s">
        <v>133</v>
      </c>
      <c r="C80" s="453">
        <v>97740</v>
      </c>
      <c r="D80" s="455" t="s">
        <v>167</v>
      </c>
      <c r="E80" s="453" t="s">
        <v>4</v>
      </c>
      <c r="F80" s="458">
        <v>0.24</v>
      </c>
      <c r="G80" s="462">
        <f t="shared" si="22"/>
        <v>2343.79</v>
      </c>
      <c r="H80" s="462">
        <v>1773.5</v>
      </c>
      <c r="I80" s="462">
        <v>570.29</v>
      </c>
      <c r="J80" s="548">
        <f t="shared" si="23"/>
        <v>425.64</v>
      </c>
      <c r="K80" s="465">
        <f t="shared" si="24"/>
        <v>136.86959999999999</v>
      </c>
      <c r="L80" s="466">
        <f t="shared" si="25"/>
        <v>562.50959999999998</v>
      </c>
      <c r="M80" s="354"/>
      <c r="N80" s="354"/>
      <c r="O80" s="354"/>
      <c r="P80" s="354"/>
      <c r="Q80" s="354"/>
      <c r="R80" s="354"/>
      <c r="S80" s="354"/>
      <c r="T80" s="354"/>
      <c r="U80" s="354"/>
      <c r="V80" s="354"/>
      <c r="W80" s="354"/>
      <c r="X80" s="354"/>
      <c r="Y80" s="354"/>
      <c r="Z80" s="354"/>
    </row>
    <row r="81" spans="1:26" ht="32.25" customHeight="1">
      <c r="A81" s="957"/>
      <c r="B81" s="556" t="s">
        <v>133</v>
      </c>
      <c r="C81" s="557">
        <v>100475</v>
      </c>
      <c r="D81" s="558" t="s">
        <v>168</v>
      </c>
      <c r="E81" s="557" t="s">
        <v>4</v>
      </c>
      <c r="F81" s="559">
        <v>0.27900000000000003</v>
      </c>
      <c r="G81" s="560">
        <f t="shared" si="22"/>
        <v>744.82</v>
      </c>
      <c r="H81" s="560">
        <v>663.83</v>
      </c>
      <c r="I81" s="561">
        <v>80.989999999999995</v>
      </c>
      <c r="J81" s="553">
        <f t="shared" si="23"/>
        <v>185.20857000000004</v>
      </c>
      <c r="K81" s="552">
        <f t="shared" si="24"/>
        <v>22.596209999999999</v>
      </c>
      <c r="L81" s="429">
        <f t="shared" si="25"/>
        <v>207.80478000000005</v>
      </c>
      <c r="M81" s="357"/>
      <c r="N81" s="357"/>
      <c r="O81" s="357"/>
      <c r="P81" s="357"/>
      <c r="Q81" s="357"/>
      <c r="R81" s="357"/>
      <c r="S81" s="357"/>
      <c r="T81" s="357"/>
      <c r="U81" s="357"/>
      <c r="V81" s="357"/>
      <c r="W81" s="357"/>
      <c r="X81" s="357"/>
      <c r="Y81" s="357"/>
      <c r="Z81" s="357"/>
    </row>
    <row r="82" spans="1:26" ht="15.75" customHeight="1" thickBot="1">
      <c r="A82" s="958"/>
      <c r="B82" s="953" t="s">
        <v>85</v>
      </c>
      <c r="C82" s="954"/>
      <c r="D82" s="954"/>
      <c r="E82" s="954"/>
      <c r="F82" s="954"/>
      <c r="G82" s="954"/>
      <c r="H82" s="954"/>
      <c r="I82" s="955"/>
      <c r="J82" s="52">
        <f t="shared" ref="J82:L82" si="26">SUM(J73:J81)</f>
        <v>3711.8734210000002</v>
      </c>
      <c r="K82" s="52">
        <f t="shared" si="26"/>
        <v>463.55705499999993</v>
      </c>
      <c r="L82" s="51">
        <f t="shared" si="26"/>
        <v>4175.4304759999995</v>
      </c>
      <c r="M82" s="354"/>
      <c r="N82" s="354"/>
      <c r="O82" s="354"/>
      <c r="P82" s="354"/>
      <c r="Q82" s="354"/>
      <c r="R82" s="354"/>
      <c r="S82" s="354"/>
      <c r="T82" s="354"/>
      <c r="U82" s="354"/>
      <c r="V82" s="354"/>
      <c r="W82" s="354"/>
      <c r="X82" s="354"/>
      <c r="Y82" s="354"/>
      <c r="Z82" s="354"/>
    </row>
    <row r="83" spans="1:26" ht="15.75" customHeight="1" thickBot="1"/>
    <row r="84" spans="1:26" ht="15.75" customHeight="1">
      <c r="A84" s="956" t="s">
        <v>211</v>
      </c>
      <c r="B84" s="430" t="s">
        <v>93</v>
      </c>
      <c r="C84" s="959" t="s">
        <v>173</v>
      </c>
      <c r="D84" s="960"/>
      <c r="E84" s="960"/>
      <c r="F84" s="960"/>
      <c r="G84" s="960"/>
      <c r="H84" s="960"/>
      <c r="I84" s="960"/>
      <c r="J84" s="960"/>
      <c r="K84" s="960"/>
      <c r="L84" s="961"/>
    </row>
    <row r="85" spans="1:26" ht="15.75" customHeight="1">
      <c r="A85" s="957"/>
      <c r="B85" s="45" t="s">
        <v>94</v>
      </c>
      <c r="C85" s="974" t="s">
        <v>174</v>
      </c>
      <c r="D85" s="948"/>
      <c r="E85" s="948"/>
      <c r="F85" s="948"/>
      <c r="G85" s="948"/>
      <c r="H85" s="948"/>
      <c r="I85" s="948"/>
      <c r="J85" s="948"/>
      <c r="K85" s="948"/>
      <c r="L85" s="949"/>
    </row>
    <row r="86" spans="1:26" ht="15.75" customHeight="1">
      <c r="A86" s="957"/>
      <c r="B86" s="46" t="s">
        <v>96</v>
      </c>
      <c r="C86" s="971" t="s">
        <v>14</v>
      </c>
      <c r="D86" s="972"/>
      <c r="E86" s="972"/>
      <c r="F86" s="972"/>
      <c r="G86" s="972"/>
      <c r="H86" s="972"/>
      <c r="I86" s="972"/>
      <c r="J86" s="972"/>
      <c r="K86" s="972"/>
      <c r="L86" s="973"/>
    </row>
    <row r="87" spans="1:26" ht="44.25" customHeight="1">
      <c r="A87" s="957"/>
      <c r="B87" s="45" t="s">
        <v>98</v>
      </c>
      <c r="C87" s="47" t="s">
        <v>12</v>
      </c>
      <c r="D87" s="96" t="s">
        <v>99</v>
      </c>
      <c r="E87" s="47" t="s">
        <v>96</v>
      </c>
      <c r="F87" s="47" t="s">
        <v>100</v>
      </c>
      <c r="G87" s="48" t="s">
        <v>145</v>
      </c>
      <c r="H87" s="48" t="s">
        <v>102</v>
      </c>
      <c r="I87" s="48" t="s">
        <v>103</v>
      </c>
      <c r="J87" s="48" t="s">
        <v>104</v>
      </c>
      <c r="K87" s="48" t="s">
        <v>105</v>
      </c>
      <c r="L87" s="49" t="s">
        <v>106</v>
      </c>
      <c r="M87" s="354"/>
      <c r="N87" s="354"/>
      <c r="O87" s="354"/>
      <c r="P87" s="354"/>
      <c r="Q87" s="354"/>
      <c r="R87" s="354"/>
      <c r="S87" s="354"/>
      <c r="T87" s="354"/>
      <c r="U87" s="354"/>
      <c r="V87" s="354"/>
      <c r="W87" s="354"/>
      <c r="X87" s="354"/>
      <c r="Y87" s="354"/>
      <c r="Z87" s="354"/>
    </row>
    <row r="88" spans="1:26" ht="27" customHeight="1">
      <c r="A88" s="957"/>
      <c r="B88" s="410" t="s">
        <v>107</v>
      </c>
      <c r="C88" s="415">
        <v>660</v>
      </c>
      <c r="D88" s="563" t="s">
        <v>175</v>
      </c>
      <c r="E88" s="415" t="s">
        <v>127</v>
      </c>
      <c r="F88" s="551">
        <v>100.8</v>
      </c>
      <c r="G88" s="552">
        <f t="shared" ref="G88:G104" si="27">H88+I88</f>
        <v>3.71</v>
      </c>
      <c r="H88" s="552">
        <v>3.71</v>
      </c>
      <c r="I88" s="552">
        <v>0</v>
      </c>
      <c r="J88" s="546">
        <f t="shared" ref="J88:J104" si="28">H88*F88</f>
        <v>373.96799999999996</v>
      </c>
      <c r="K88" s="546">
        <f t="shared" ref="K88:K104" si="29">I88*F88</f>
        <v>0</v>
      </c>
      <c r="L88" s="427">
        <f t="shared" ref="L88:L104" si="30">K88+J88</f>
        <v>373.96799999999996</v>
      </c>
      <c r="M88" s="357"/>
      <c r="N88" s="357"/>
      <c r="O88" s="357"/>
      <c r="P88" s="357"/>
      <c r="Q88" s="357"/>
      <c r="R88" s="357"/>
      <c r="S88" s="357"/>
      <c r="T88" s="357"/>
      <c r="U88" s="357"/>
      <c r="V88" s="357"/>
      <c r="W88" s="357"/>
      <c r="X88" s="357"/>
      <c r="Y88" s="357"/>
      <c r="Z88" s="357"/>
    </row>
    <row r="89" spans="1:26" ht="27" customHeight="1">
      <c r="A89" s="957"/>
      <c r="B89" s="448" t="s">
        <v>107</v>
      </c>
      <c r="C89" s="453">
        <v>4720</v>
      </c>
      <c r="D89" s="455" t="s">
        <v>176</v>
      </c>
      <c r="E89" s="453" t="s">
        <v>4</v>
      </c>
      <c r="F89" s="458">
        <v>2.9228999999999998</v>
      </c>
      <c r="G89" s="462">
        <f t="shared" si="27"/>
        <v>83.27</v>
      </c>
      <c r="H89" s="462">
        <v>83.27</v>
      </c>
      <c r="I89" s="462">
        <v>0</v>
      </c>
      <c r="J89" s="465">
        <f t="shared" si="28"/>
        <v>243.38988299999997</v>
      </c>
      <c r="K89" s="465">
        <f t="shared" si="29"/>
        <v>0</v>
      </c>
      <c r="L89" s="466">
        <f t="shared" si="30"/>
        <v>243.38988299999997</v>
      </c>
      <c r="M89" s="354"/>
      <c r="N89" s="354"/>
      <c r="O89" s="354"/>
      <c r="P89" s="354"/>
      <c r="Q89" s="354"/>
      <c r="R89" s="354"/>
      <c r="S89" s="354"/>
      <c r="T89" s="354"/>
      <c r="U89" s="354"/>
      <c r="V89" s="354"/>
      <c r="W89" s="354"/>
      <c r="X89" s="354"/>
      <c r="Y89" s="354"/>
      <c r="Z89" s="354"/>
    </row>
    <row r="90" spans="1:26" ht="42.75" customHeight="1">
      <c r="A90" s="957"/>
      <c r="B90" s="411" t="s">
        <v>133</v>
      </c>
      <c r="C90" s="414">
        <v>5678</v>
      </c>
      <c r="D90" s="416" t="s">
        <v>177</v>
      </c>
      <c r="E90" s="414" t="s">
        <v>157</v>
      </c>
      <c r="F90" s="554">
        <v>0.6925</v>
      </c>
      <c r="G90" s="555">
        <f t="shared" si="27"/>
        <v>152.38</v>
      </c>
      <c r="H90" s="555">
        <v>122.07</v>
      </c>
      <c r="I90" s="555">
        <v>30.31</v>
      </c>
      <c r="J90" s="546">
        <f t="shared" si="28"/>
        <v>84.533474999999996</v>
      </c>
      <c r="K90" s="546">
        <f t="shared" si="29"/>
        <v>20.989674999999998</v>
      </c>
      <c r="L90" s="427">
        <f t="shared" si="30"/>
        <v>105.52314999999999</v>
      </c>
      <c r="M90" s="357"/>
      <c r="N90" s="357"/>
      <c r="O90" s="357"/>
      <c r="P90" s="357"/>
      <c r="Q90" s="357"/>
      <c r="R90" s="357"/>
      <c r="S90" s="357"/>
      <c r="T90" s="357"/>
      <c r="U90" s="357"/>
      <c r="V90" s="357"/>
      <c r="W90" s="357"/>
      <c r="X90" s="357"/>
      <c r="Y90" s="357"/>
      <c r="Z90" s="357"/>
    </row>
    <row r="91" spans="1:26" ht="42.75" customHeight="1">
      <c r="A91" s="957"/>
      <c r="B91" s="411" t="s">
        <v>133</v>
      </c>
      <c r="C91" s="414">
        <v>5679</v>
      </c>
      <c r="D91" s="416" t="s">
        <v>161</v>
      </c>
      <c r="E91" s="414" t="s">
        <v>162</v>
      </c>
      <c r="F91" s="554">
        <v>2.3292000000000002</v>
      </c>
      <c r="G91" s="555">
        <f t="shared" si="27"/>
        <v>66.41</v>
      </c>
      <c r="H91" s="555">
        <v>36.1</v>
      </c>
      <c r="I91" s="555">
        <v>30.31</v>
      </c>
      <c r="J91" s="546">
        <f t="shared" si="28"/>
        <v>84.084120000000013</v>
      </c>
      <c r="K91" s="546">
        <f t="shared" si="29"/>
        <v>70.598051999999996</v>
      </c>
      <c r="L91" s="427">
        <f t="shared" si="30"/>
        <v>154.68217200000001</v>
      </c>
      <c r="M91" s="357"/>
      <c r="N91" s="357"/>
      <c r="O91" s="357"/>
      <c r="P91" s="357"/>
      <c r="Q91" s="357"/>
      <c r="R91" s="357"/>
      <c r="S91" s="357"/>
      <c r="T91" s="357"/>
      <c r="U91" s="357"/>
      <c r="V91" s="357"/>
      <c r="W91" s="357"/>
      <c r="X91" s="357"/>
      <c r="Y91" s="357"/>
      <c r="Z91" s="357"/>
    </row>
    <row r="92" spans="1:26" ht="27" customHeight="1">
      <c r="A92" s="957"/>
      <c r="B92" s="411" t="s">
        <v>107</v>
      </c>
      <c r="C92" s="414">
        <v>25067</v>
      </c>
      <c r="D92" s="416" t="s">
        <v>178</v>
      </c>
      <c r="E92" s="414" t="s">
        <v>127</v>
      </c>
      <c r="F92" s="554">
        <v>130</v>
      </c>
      <c r="G92" s="555">
        <f t="shared" si="27"/>
        <v>5.98</v>
      </c>
      <c r="H92" s="555">
        <v>5.98</v>
      </c>
      <c r="I92" s="555">
        <v>0</v>
      </c>
      <c r="J92" s="546">
        <f t="shared" si="28"/>
        <v>777.40000000000009</v>
      </c>
      <c r="K92" s="546">
        <f t="shared" si="29"/>
        <v>0</v>
      </c>
      <c r="L92" s="427">
        <f t="shared" si="30"/>
        <v>777.40000000000009</v>
      </c>
      <c r="M92" s="357"/>
      <c r="N92" s="357"/>
      <c r="O92" s="357"/>
      <c r="P92" s="357"/>
      <c r="Q92" s="357"/>
      <c r="R92" s="357"/>
      <c r="S92" s="357"/>
      <c r="T92" s="357"/>
      <c r="U92" s="357"/>
      <c r="V92" s="357"/>
      <c r="W92" s="357"/>
      <c r="X92" s="357"/>
      <c r="Y92" s="357"/>
      <c r="Z92" s="357"/>
    </row>
    <row r="93" spans="1:26" ht="27" customHeight="1">
      <c r="A93" s="957"/>
      <c r="B93" s="411" t="s">
        <v>133</v>
      </c>
      <c r="C93" s="414">
        <v>87316</v>
      </c>
      <c r="D93" s="416" t="s">
        <v>179</v>
      </c>
      <c r="E93" s="414" t="s">
        <v>4</v>
      </c>
      <c r="F93" s="554">
        <v>1.32E-2</v>
      </c>
      <c r="G93" s="555">
        <f t="shared" si="27"/>
        <v>495.26</v>
      </c>
      <c r="H93" s="555">
        <v>395.04</v>
      </c>
      <c r="I93" s="555">
        <v>100.22</v>
      </c>
      <c r="J93" s="546">
        <f t="shared" si="28"/>
        <v>5.2145280000000005</v>
      </c>
      <c r="K93" s="546">
        <f t="shared" si="29"/>
        <v>1.3229040000000001</v>
      </c>
      <c r="L93" s="427">
        <f t="shared" si="30"/>
        <v>6.5374320000000008</v>
      </c>
      <c r="M93" s="357"/>
      <c r="N93" s="357"/>
      <c r="O93" s="357"/>
      <c r="P93" s="357"/>
      <c r="Q93" s="357"/>
      <c r="R93" s="357"/>
      <c r="S93" s="357"/>
      <c r="T93" s="357"/>
      <c r="U93" s="357"/>
      <c r="V93" s="357"/>
      <c r="W93" s="357"/>
      <c r="X93" s="357"/>
      <c r="Y93" s="357"/>
      <c r="Z93" s="357"/>
    </row>
    <row r="94" spans="1:26" ht="27" customHeight="1">
      <c r="A94" s="957"/>
      <c r="B94" s="411" t="s">
        <v>133</v>
      </c>
      <c r="C94" s="414">
        <v>88309</v>
      </c>
      <c r="D94" s="416" t="s">
        <v>152</v>
      </c>
      <c r="E94" s="414" t="s">
        <v>116</v>
      </c>
      <c r="F94" s="554">
        <v>35.4754</v>
      </c>
      <c r="G94" s="555">
        <f t="shared" si="27"/>
        <v>25.81</v>
      </c>
      <c r="H94" s="555">
        <v>5.52</v>
      </c>
      <c r="I94" s="555">
        <v>20.29</v>
      </c>
      <c r="J94" s="546">
        <f t="shared" si="28"/>
        <v>195.824208</v>
      </c>
      <c r="K94" s="546">
        <f t="shared" si="29"/>
        <v>719.79586599999993</v>
      </c>
      <c r="L94" s="427">
        <f t="shared" si="30"/>
        <v>915.62007399999993</v>
      </c>
      <c r="M94" s="357"/>
      <c r="N94" s="357"/>
      <c r="O94" s="357"/>
      <c r="P94" s="357"/>
      <c r="Q94" s="357"/>
      <c r="R94" s="357"/>
      <c r="S94" s="357"/>
      <c r="T94" s="357"/>
      <c r="U94" s="357"/>
      <c r="V94" s="357"/>
      <c r="W94" s="357"/>
      <c r="X94" s="357"/>
      <c r="Y94" s="357"/>
      <c r="Z94" s="357"/>
    </row>
    <row r="95" spans="1:26" ht="27" customHeight="1">
      <c r="A95" s="957"/>
      <c r="B95" s="411" t="s">
        <v>133</v>
      </c>
      <c r="C95" s="414">
        <v>88316</v>
      </c>
      <c r="D95" s="416" t="s">
        <v>148</v>
      </c>
      <c r="E95" s="414" t="s">
        <v>116</v>
      </c>
      <c r="F95" s="554">
        <v>35.4754</v>
      </c>
      <c r="G95" s="555">
        <f t="shared" si="27"/>
        <v>21.299999999999997</v>
      </c>
      <c r="H95" s="555">
        <v>5.35</v>
      </c>
      <c r="I95" s="555">
        <v>15.95</v>
      </c>
      <c r="J95" s="546">
        <f t="shared" si="28"/>
        <v>189.79338999999999</v>
      </c>
      <c r="K95" s="546">
        <f t="shared" si="29"/>
        <v>565.83262999999999</v>
      </c>
      <c r="L95" s="427">
        <f t="shared" si="30"/>
        <v>755.62601999999993</v>
      </c>
      <c r="M95" s="357"/>
      <c r="N95" s="357"/>
      <c r="O95" s="357"/>
      <c r="P95" s="357"/>
      <c r="Q95" s="357"/>
      <c r="R95" s="357"/>
      <c r="S95" s="357"/>
      <c r="T95" s="357"/>
      <c r="U95" s="357"/>
      <c r="V95" s="357"/>
      <c r="W95" s="357"/>
      <c r="X95" s="357"/>
      <c r="Y95" s="357"/>
      <c r="Z95" s="357"/>
    </row>
    <row r="96" spans="1:26" ht="27" customHeight="1">
      <c r="A96" s="957"/>
      <c r="B96" s="448" t="s">
        <v>133</v>
      </c>
      <c r="C96" s="453">
        <v>89993</v>
      </c>
      <c r="D96" s="455" t="s">
        <v>182</v>
      </c>
      <c r="E96" s="453" t="s">
        <v>4</v>
      </c>
      <c r="F96" s="458">
        <v>0.1196</v>
      </c>
      <c r="G96" s="462">
        <f t="shared" si="27"/>
        <v>1006.77</v>
      </c>
      <c r="H96" s="462">
        <v>659.49</v>
      </c>
      <c r="I96" s="462">
        <v>347.28</v>
      </c>
      <c r="J96" s="465">
        <f t="shared" si="28"/>
        <v>78.875004000000004</v>
      </c>
      <c r="K96" s="465">
        <f t="shared" si="29"/>
        <v>41.534687999999996</v>
      </c>
      <c r="L96" s="466">
        <f t="shared" si="30"/>
        <v>120.40969200000001</v>
      </c>
      <c r="M96" s="354"/>
      <c r="N96" s="354"/>
      <c r="O96" s="354"/>
      <c r="P96" s="354"/>
      <c r="Q96" s="354"/>
      <c r="R96" s="354"/>
      <c r="S96" s="354"/>
      <c r="T96" s="354"/>
      <c r="U96" s="354"/>
      <c r="V96" s="354"/>
      <c r="W96" s="354"/>
      <c r="X96" s="354"/>
      <c r="Y96" s="354"/>
      <c r="Z96" s="354"/>
    </row>
    <row r="97" spans="1:27" ht="27" customHeight="1">
      <c r="A97" s="957"/>
      <c r="B97" s="411" t="s">
        <v>133</v>
      </c>
      <c r="C97" s="414">
        <v>89995</v>
      </c>
      <c r="D97" s="416" t="s">
        <v>183</v>
      </c>
      <c r="E97" s="414" t="s">
        <v>4</v>
      </c>
      <c r="F97" s="554">
        <v>0.29530000000000001</v>
      </c>
      <c r="G97" s="555">
        <f t="shared" si="27"/>
        <v>972.89</v>
      </c>
      <c r="H97" s="555">
        <v>652.91</v>
      </c>
      <c r="I97" s="555">
        <v>319.98</v>
      </c>
      <c r="J97" s="546">
        <f t="shared" si="28"/>
        <v>192.80432299999998</v>
      </c>
      <c r="K97" s="546">
        <f t="shared" si="29"/>
        <v>94.490094000000013</v>
      </c>
      <c r="L97" s="427">
        <f t="shared" si="30"/>
        <v>287.29441700000001</v>
      </c>
      <c r="M97" s="357"/>
      <c r="N97" s="357"/>
      <c r="O97" s="357"/>
      <c r="P97" s="357"/>
      <c r="Q97" s="357"/>
      <c r="R97" s="357"/>
      <c r="S97" s="357"/>
      <c r="T97" s="357"/>
      <c r="U97" s="357"/>
      <c r="V97" s="357"/>
      <c r="W97" s="357"/>
      <c r="X97" s="357"/>
      <c r="Y97" s="357"/>
      <c r="Z97" s="357"/>
    </row>
    <row r="98" spans="1:27" ht="27" customHeight="1">
      <c r="A98" s="957"/>
      <c r="B98" s="448" t="s">
        <v>133</v>
      </c>
      <c r="C98" s="453">
        <v>89996</v>
      </c>
      <c r="D98" s="455" t="s">
        <v>184</v>
      </c>
      <c r="E98" s="453" t="s">
        <v>147</v>
      </c>
      <c r="F98" s="458">
        <v>3.9487999999999999</v>
      </c>
      <c r="G98" s="462">
        <f t="shared" si="27"/>
        <v>11.57</v>
      </c>
      <c r="H98" s="462">
        <v>9.7100000000000009</v>
      </c>
      <c r="I98" s="462">
        <v>1.86</v>
      </c>
      <c r="J98" s="465">
        <f t="shared" si="28"/>
        <v>38.342848000000004</v>
      </c>
      <c r="K98" s="465">
        <f t="shared" si="29"/>
        <v>7.3447680000000002</v>
      </c>
      <c r="L98" s="466">
        <f t="shared" si="30"/>
        <v>45.687616000000006</v>
      </c>
      <c r="M98" s="354"/>
      <c r="N98" s="354"/>
      <c r="O98" s="354"/>
      <c r="P98" s="354"/>
      <c r="Q98" s="354"/>
      <c r="R98" s="354"/>
      <c r="S98" s="354"/>
      <c r="T98" s="354"/>
      <c r="U98" s="354"/>
      <c r="V98" s="354"/>
      <c r="W98" s="354"/>
      <c r="X98" s="354"/>
      <c r="Y98" s="354"/>
      <c r="Z98" s="354"/>
    </row>
    <row r="99" spans="1:27" ht="27" customHeight="1">
      <c r="A99" s="957"/>
      <c r="B99" s="411" t="s">
        <v>133</v>
      </c>
      <c r="C99" s="414">
        <v>89998</v>
      </c>
      <c r="D99" s="416" t="s">
        <v>185</v>
      </c>
      <c r="E99" s="414" t="s">
        <v>147</v>
      </c>
      <c r="F99" s="554">
        <v>11.846399999999999</v>
      </c>
      <c r="G99" s="555">
        <f t="shared" si="27"/>
        <v>11.06</v>
      </c>
      <c r="H99" s="555">
        <v>9.59</v>
      </c>
      <c r="I99" s="555">
        <v>1.47</v>
      </c>
      <c r="J99" s="546">
        <f t="shared" si="28"/>
        <v>113.60697599999999</v>
      </c>
      <c r="K99" s="546">
        <f t="shared" si="29"/>
        <v>17.414207999999999</v>
      </c>
      <c r="L99" s="427">
        <f t="shared" si="30"/>
        <v>131.02118399999998</v>
      </c>
      <c r="M99" s="357"/>
      <c r="N99" s="357"/>
      <c r="O99" s="357"/>
      <c r="P99" s="357"/>
      <c r="Q99" s="357"/>
      <c r="R99" s="357"/>
      <c r="S99" s="357"/>
      <c r="T99" s="357"/>
      <c r="U99" s="357"/>
      <c r="V99" s="357"/>
      <c r="W99" s="357"/>
      <c r="X99" s="357"/>
      <c r="Y99" s="357"/>
      <c r="Z99" s="357"/>
    </row>
    <row r="100" spans="1:27" ht="42.75" customHeight="1">
      <c r="A100" s="957"/>
      <c r="B100" s="411" t="s">
        <v>133</v>
      </c>
      <c r="C100" s="414">
        <v>92767</v>
      </c>
      <c r="D100" s="416" t="s">
        <v>186</v>
      </c>
      <c r="E100" s="414" t="s">
        <v>147</v>
      </c>
      <c r="F100" s="554">
        <v>33.877200000000002</v>
      </c>
      <c r="G100" s="555">
        <f t="shared" si="27"/>
        <v>15.92</v>
      </c>
      <c r="H100" s="555">
        <v>11.41</v>
      </c>
      <c r="I100" s="555">
        <v>4.51</v>
      </c>
      <c r="J100" s="546">
        <f t="shared" si="28"/>
        <v>386.53885200000002</v>
      </c>
      <c r="K100" s="546">
        <f t="shared" si="29"/>
        <v>152.78617199999999</v>
      </c>
      <c r="L100" s="427">
        <f t="shared" si="30"/>
        <v>539.32502399999998</v>
      </c>
      <c r="M100" s="357"/>
      <c r="N100" s="357"/>
      <c r="O100" s="357"/>
      <c r="P100" s="357"/>
      <c r="Q100" s="357"/>
      <c r="R100" s="357"/>
      <c r="S100" s="357"/>
      <c r="T100" s="357"/>
      <c r="U100" s="357"/>
      <c r="V100" s="357"/>
      <c r="W100" s="357"/>
      <c r="X100" s="357"/>
      <c r="Y100" s="357"/>
      <c r="Z100" s="357"/>
    </row>
    <row r="101" spans="1:27" ht="43.5" customHeight="1">
      <c r="A101" s="957"/>
      <c r="B101" s="411" t="s">
        <v>133</v>
      </c>
      <c r="C101" s="414">
        <v>101621</v>
      </c>
      <c r="D101" s="416" t="s">
        <v>164</v>
      </c>
      <c r="E101" s="414" t="s">
        <v>4</v>
      </c>
      <c r="F101" s="554">
        <v>0.56100000000000005</v>
      </c>
      <c r="G101" s="555">
        <f t="shared" si="27"/>
        <v>215.53</v>
      </c>
      <c r="H101" s="555">
        <v>120.67</v>
      </c>
      <c r="I101" s="555">
        <v>94.86</v>
      </c>
      <c r="J101" s="546">
        <f t="shared" si="28"/>
        <v>67.695870000000014</v>
      </c>
      <c r="K101" s="546">
        <f t="shared" si="29"/>
        <v>53.216460000000005</v>
      </c>
      <c r="L101" s="427">
        <f t="shared" si="30"/>
        <v>120.91233000000003</v>
      </c>
      <c r="M101" s="357"/>
      <c r="N101" s="357"/>
      <c r="O101" s="357"/>
      <c r="P101" s="357"/>
      <c r="Q101" s="357"/>
      <c r="R101" s="357"/>
      <c r="S101" s="357"/>
      <c r="T101" s="357"/>
      <c r="U101" s="357"/>
      <c r="V101" s="357"/>
      <c r="W101" s="357"/>
      <c r="X101" s="357"/>
      <c r="Y101" s="357"/>
      <c r="Z101" s="357"/>
    </row>
    <row r="102" spans="1:27" ht="30.75" customHeight="1">
      <c r="A102" s="957"/>
      <c r="B102" s="411" t="s">
        <v>133</v>
      </c>
      <c r="C102" s="414">
        <v>94970</v>
      </c>
      <c r="D102" s="416" t="s">
        <v>187</v>
      </c>
      <c r="E102" s="414" t="s">
        <v>4</v>
      </c>
      <c r="F102" s="554">
        <v>1.4569000000000001</v>
      </c>
      <c r="G102" s="555">
        <f t="shared" si="27"/>
        <v>466.3</v>
      </c>
      <c r="H102" s="555">
        <v>406.42</v>
      </c>
      <c r="I102" s="555">
        <v>59.88</v>
      </c>
      <c r="J102" s="546">
        <f t="shared" si="28"/>
        <v>592.1132980000001</v>
      </c>
      <c r="K102" s="546">
        <f t="shared" si="29"/>
        <v>87.239172000000011</v>
      </c>
      <c r="L102" s="427">
        <f t="shared" si="30"/>
        <v>679.35247000000015</v>
      </c>
      <c r="M102" s="357"/>
      <c r="N102" s="357"/>
      <c r="O102" s="357"/>
      <c r="P102" s="357"/>
      <c r="Q102" s="357"/>
      <c r="R102" s="357"/>
      <c r="S102" s="357"/>
      <c r="T102" s="357"/>
      <c r="U102" s="357"/>
      <c r="V102" s="357"/>
      <c r="W102" s="357"/>
      <c r="X102" s="357"/>
      <c r="Y102" s="357"/>
      <c r="Z102" s="357"/>
    </row>
    <row r="103" spans="1:27" ht="33" customHeight="1">
      <c r="A103" s="957"/>
      <c r="B103" s="411" t="s">
        <v>133</v>
      </c>
      <c r="C103" s="414">
        <v>97735</v>
      </c>
      <c r="D103" s="416" t="s">
        <v>189</v>
      </c>
      <c r="E103" s="414" t="s">
        <v>4</v>
      </c>
      <c r="F103" s="554">
        <v>0.84750000000000003</v>
      </c>
      <c r="G103" s="555">
        <f t="shared" si="27"/>
        <v>2414.31</v>
      </c>
      <c r="H103" s="555">
        <v>1282.57</v>
      </c>
      <c r="I103" s="555">
        <v>1131.74</v>
      </c>
      <c r="J103" s="546">
        <f t="shared" si="28"/>
        <v>1086.978075</v>
      </c>
      <c r="K103" s="546">
        <f t="shared" si="29"/>
        <v>959.14965000000007</v>
      </c>
      <c r="L103" s="427">
        <f t="shared" si="30"/>
        <v>2046.1277250000001</v>
      </c>
      <c r="M103" s="357"/>
      <c r="N103" s="357"/>
      <c r="O103" s="357"/>
      <c r="P103" s="357"/>
      <c r="Q103" s="357"/>
      <c r="R103" s="357"/>
      <c r="S103" s="357"/>
      <c r="T103" s="357"/>
      <c r="U103" s="357"/>
      <c r="V103" s="357"/>
      <c r="W103" s="357"/>
      <c r="X103" s="357"/>
      <c r="Y103" s="357"/>
      <c r="Z103" s="357"/>
    </row>
    <row r="104" spans="1:27" ht="31.5" customHeight="1">
      <c r="A104" s="957"/>
      <c r="B104" s="470" t="s">
        <v>133</v>
      </c>
      <c r="C104" s="451">
        <v>100475</v>
      </c>
      <c r="D104" s="456" t="s">
        <v>168</v>
      </c>
      <c r="E104" s="451" t="s">
        <v>4</v>
      </c>
      <c r="F104" s="460">
        <v>1</v>
      </c>
      <c r="G104" s="464">
        <f t="shared" si="27"/>
        <v>744.82</v>
      </c>
      <c r="H104" s="464">
        <v>663.83</v>
      </c>
      <c r="I104" s="464">
        <v>80.989999999999995</v>
      </c>
      <c r="J104" s="461">
        <f t="shared" si="28"/>
        <v>663.83</v>
      </c>
      <c r="K104" s="461">
        <f t="shared" si="29"/>
        <v>80.989999999999995</v>
      </c>
      <c r="L104" s="467">
        <f t="shared" si="30"/>
        <v>744.82</v>
      </c>
      <c r="M104" s="354"/>
      <c r="N104" s="354"/>
      <c r="O104" s="354"/>
      <c r="P104" s="354"/>
      <c r="Q104" s="354"/>
      <c r="R104" s="354"/>
      <c r="S104" s="354"/>
      <c r="T104" s="354"/>
      <c r="U104" s="354"/>
      <c r="V104" s="354"/>
      <c r="W104" s="354"/>
      <c r="X104" s="354"/>
      <c r="Y104" s="354"/>
      <c r="Z104" s="354"/>
    </row>
    <row r="105" spans="1:27" ht="15.75" customHeight="1" thickBot="1">
      <c r="A105" s="958"/>
      <c r="B105" s="953" t="s">
        <v>85</v>
      </c>
      <c r="C105" s="965"/>
      <c r="D105" s="965"/>
      <c r="E105" s="965"/>
      <c r="F105" s="965"/>
      <c r="G105" s="965"/>
      <c r="H105" s="965"/>
      <c r="I105" s="966"/>
      <c r="J105" s="52">
        <f t="shared" ref="J105:L105" si="31">SUM(J88:J104)</f>
        <v>5174.9928500000005</v>
      </c>
      <c r="K105" s="52">
        <f t="shared" si="31"/>
        <v>2872.7043389999999</v>
      </c>
      <c r="L105" s="51">
        <f t="shared" si="31"/>
        <v>8047.6971890000004</v>
      </c>
      <c r="Y105" s="354"/>
      <c r="Z105" s="354"/>
    </row>
    <row r="106" spans="1:27" ht="15.75" customHeight="1" thickBot="1"/>
    <row r="107" spans="1:27" ht="15.75" customHeight="1">
      <c r="A107" s="956" t="s">
        <v>260</v>
      </c>
      <c r="B107" s="430" t="s">
        <v>93</v>
      </c>
      <c r="C107" s="959" t="s">
        <v>191</v>
      </c>
      <c r="D107" s="960"/>
      <c r="E107" s="960"/>
      <c r="F107" s="960"/>
      <c r="G107" s="960"/>
      <c r="H107" s="960"/>
      <c r="I107" s="960"/>
      <c r="J107" s="960"/>
      <c r="K107" s="960"/>
      <c r="L107" s="961"/>
    </row>
    <row r="108" spans="1:27" ht="15.75" customHeight="1">
      <c r="A108" s="957"/>
      <c r="B108" s="544" t="s">
        <v>94</v>
      </c>
      <c r="C108" s="962" t="s">
        <v>192</v>
      </c>
      <c r="D108" s="948"/>
      <c r="E108" s="948"/>
      <c r="F108" s="948"/>
      <c r="G108" s="948"/>
      <c r="H108" s="948"/>
      <c r="I108" s="948"/>
      <c r="J108" s="948"/>
      <c r="K108" s="948"/>
      <c r="L108" s="949"/>
    </row>
    <row r="109" spans="1:27" ht="15.75" customHeight="1">
      <c r="A109" s="957"/>
      <c r="B109" s="545" t="s">
        <v>96</v>
      </c>
      <c r="C109" s="989" t="s">
        <v>14</v>
      </c>
      <c r="D109" s="951"/>
      <c r="E109" s="951"/>
      <c r="F109" s="951"/>
      <c r="G109" s="951"/>
      <c r="H109" s="951"/>
      <c r="I109" s="951"/>
      <c r="J109" s="951"/>
      <c r="K109" s="951"/>
      <c r="L109" s="952"/>
      <c r="M109" s="354"/>
      <c r="N109" s="354"/>
      <c r="O109" s="354"/>
      <c r="P109" s="354"/>
      <c r="Q109" s="354"/>
      <c r="R109" s="354"/>
      <c r="S109" s="354"/>
    </row>
    <row r="110" spans="1:27" ht="44.25" customHeight="1">
      <c r="A110" s="957"/>
      <c r="B110" s="544" t="s">
        <v>98</v>
      </c>
      <c r="C110" s="45" t="s">
        <v>12</v>
      </c>
      <c r="D110" s="96" t="s">
        <v>99</v>
      </c>
      <c r="E110" s="47" t="s">
        <v>96</v>
      </c>
      <c r="F110" s="47" t="s">
        <v>100</v>
      </c>
      <c r="G110" s="48" t="s">
        <v>145</v>
      </c>
      <c r="H110" s="48" t="s">
        <v>102</v>
      </c>
      <c r="I110" s="48" t="s">
        <v>103</v>
      </c>
      <c r="J110" s="48" t="s">
        <v>104</v>
      </c>
      <c r="K110" s="48" t="s">
        <v>105</v>
      </c>
      <c r="L110" s="49" t="s">
        <v>106</v>
      </c>
      <c r="M110" s="354"/>
      <c r="N110" s="354"/>
      <c r="O110" s="354"/>
      <c r="P110" s="354"/>
      <c r="Q110" s="354"/>
      <c r="R110" s="354"/>
      <c r="S110" s="354"/>
      <c r="T110" s="354"/>
      <c r="U110" s="354"/>
      <c r="V110" s="354"/>
      <c r="W110" s="354"/>
      <c r="X110" s="354"/>
      <c r="Y110" s="354"/>
      <c r="Z110" s="354"/>
      <c r="AA110" s="354"/>
    </row>
    <row r="111" spans="1:27" ht="30.75" customHeight="1">
      <c r="A111" s="957"/>
      <c r="B111" s="410" t="s">
        <v>107</v>
      </c>
      <c r="C111" s="415">
        <v>660</v>
      </c>
      <c r="D111" s="570" t="s">
        <v>175</v>
      </c>
      <c r="E111" s="415" t="s">
        <v>127</v>
      </c>
      <c r="F111" s="551">
        <v>56.7</v>
      </c>
      <c r="G111" s="552">
        <f t="shared" ref="G111:G124" si="32">H111+I111</f>
        <v>3.71</v>
      </c>
      <c r="H111" s="552">
        <v>3.71</v>
      </c>
      <c r="I111" s="552">
        <v>0</v>
      </c>
      <c r="J111" s="546">
        <f t="shared" ref="J111:J124" si="33">H111*F111</f>
        <v>210.357</v>
      </c>
      <c r="K111" s="546">
        <f t="shared" ref="K111:K124" si="34">I111*F111</f>
        <v>0</v>
      </c>
      <c r="L111" s="427">
        <f t="shared" ref="L111:L124" si="35">K111+J111</f>
        <v>210.357</v>
      </c>
      <c r="M111" s="357"/>
      <c r="N111" s="357"/>
      <c r="O111" s="357"/>
      <c r="P111" s="357"/>
      <c r="Q111" s="357"/>
      <c r="R111" s="357"/>
      <c r="S111" s="357"/>
      <c r="T111" s="357"/>
      <c r="U111" s="357"/>
      <c r="V111" s="357"/>
      <c r="W111" s="357"/>
      <c r="X111" s="357"/>
      <c r="Y111" s="357"/>
      <c r="Z111" s="357"/>
      <c r="AA111" s="354"/>
    </row>
    <row r="112" spans="1:27" ht="40.5" customHeight="1">
      <c r="A112" s="957"/>
      <c r="B112" s="411" t="s">
        <v>107</v>
      </c>
      <c r="C112" s="414">
        <v>4720</v>
      </c>
      <c r="D112" s="571" t="s">
        <v>176</v>
      </c>
      <c r="E112" s="414" t="s">
        <v>4</v>
      </c>
      <c r="F112" s="554">
        <v>1.9952000000000001</v>
      </c>
      <c r="G112" s="555">
        <f t="shared" si="32"/>
        <v>83.27</v>
      </c>
      <c r="H112" s="555">
        <v>83.27</v>
      </c>
      <c r="I112" s="555">
        <v>0</v>
      </c>
      <c r="J112" s="546">
        <f t="shared" si="33"/>
        <v>166.14030399999999</v>
      </c>
      <c r="K112" s="546">
        <f t="shared" si="34"/>
        <v>0</v>
      </c>
      <c r="L112" s="427">
        <f t="shared" si="35"/>
        <v>166.14030399999999</v>
      </c>
      <c r="M112" s="357"/>
      <c r="N112" s="357"/>
      <c r="O112" s="357"/>
      <c r="P112" s="357"/>
      <c r="Q112" s="357"/>
      <c r="R112" s="357"/>
      <c r="S112" s="357"/>
      <c r="T112" s="357"/>
      <c r="U112" s="357"/>
      <c r="V112" s="357"/>
      <c r="W112" s="357"/>
      <c r="X112" s="357"/>
      <c r="Y112" s="357"/>
      <c r="Z112" s="357"/>
      <c r="AA112" s="354"/>
    </row>
    <row r="113" spans="1:27" ht="64.5" customHeight="1">
      <c r="A113" s="957"/>
      <c r="B113" s="411" t="s">
        <v>133</v>
      </c>
      <c r="C113" s="414">
        <v>5678</v>
      </c>
      <c r="D113" s="571" t="s">
        <v>177</v>
      </c>
      <c r="E113" s="414" t="s">
        <v>157</v>
      </c>
      <c r="F113" s="554">
        <v>0.52</v>
      </c>
      <c r="G113" s="555">
        <f t="shared" si="32"/>
        <v>152.38</v>
      </c>
      <c r="H113" s="555">
        <v>122.07</v>
      </c>
      <c r="I113" s="555">
        <v>30.31</v>
      </c>
      <c r="J113" s="546">
        <f t="shared" si="33"/>
        <v>63.476399999999998</v>
      </c>
      <c r="K113" s="546">
        <f t="shared" si="34"/>
        <v>15.761200000000001</v>
      </c>
      <c r="L113" s="427">
        <f t="shared" si="35"/>
        <v>79.2376</v>
      </c>
      <c r="M113" s="357"/>
      <c r="N113" s="357"/>
      <c r="O113" s="357"/>
      <c r="P113" s="357"/>
      <c r="Q113" s="357"/>
      <c r="R113" s="357"/>
      <c r="S113" s="357"/>
      <c r="T113" s="357"/>
      <c r="U113" s="357"/>
      <c r="V113" s="357"/>
      <c r="W113" s="357"/>
      <c r="X113" s="357"/>
      <c r="Y113" s="357"/>
      <c r="Z113" s="357"/>
      <c r="AA113" s="354"/>
    </row>
    <row r="114" spans="1:27" ht="55.5" customHeight="1">
      <c r="A114" s="957"/>
      <c r="B114" s="411" t="s">
        <v>133</v>
      </c>
      <c r="C114" s="414">
        <v>5679</v>
      </c>
      <c r="D114" s="571" t="s">
        <v>161</v>
      </c>
      <c r="E114" s="414" t="s">
        <v>162</v>
      </c>
      <c r="F114" s="554">
        <v>1.7155</v>
      </c>
      <c r="G114" s="555">
        <f t="shared" si="32"/>
        <v>66.41</v>
      </c>
      <c r="H114" s="555">
        <v>36.1</v>
      </c>
      <c r="I114" s="555">
        <v>30.31</v>
      </c>
      <c r="J114" s="546">
        <f t="shared" si="33"/>
        <v>61.929550000000006</v>
      </c>
      <c r="K114" s="546">
        <f t="shared" si="34"/>
        <v>51.996805000000002</v>
      </c>
      <c r="L114" s="427">
        <f t="shared" si="35"/>
        <v>113.926355</v>
      </c>
      <c r="M114" s="357"/>
      <c r="N114" s="357"/>
      <c r="O114" s="357"/>
      <c r="P114" s="357"/>
      <c r="Q114" s="357"/>
      <c r="R114" s="357"/>
      <c r="S114" s="357"/>
      <c r="T114" s="357"/>
      <c r="U114" s="357"/>
      <c r="V114" s="357"/>
      <c r="W114" s="357"/>
      <c r="X114" s="357"/>
      <c r="Y114" s="357"/>
      <c r="Z114" s="357"/>
      <c r="AA114" s="354"/>
    </row>
    <row r="115" spans="1:27" ht="30.75" customHeight="1">
      <c r="A115" s="957"/>
      <c r="B115" s="566" t="s">
        <v>107</v>
      </c>
      <c r="C115" s="567">
        <v>25067</v>
      </c>
      <c r="D115" s="572" t="s">
        <v>178</v>
      </c>
      <c r="E115" s="567" t="s">
        <v>127</v>
      </c>
      <c r="F115" s="568">
        <v>461.58699999999999</v>
      </c>
      <c r="G115" s="569">
        <f t="shared" si="32"/>
        <v>5.98</v>
      </c>
      <c r="H115" s="569">
        <v>5.98</v>
      </c>
      <c r="I115" s="569">
        <v>0</v>
      </c>
      <c r="J115" s="564">
        <f t="shared" si="33"/>
        <v>2760.2902600000002</v>
      </c>
      <c r="K115" s="564">
        <f t="shared" si="34"/>
        <v>0</v>
      </c>
      <c r="L115" s="565">
        <f t="shared" si="35"/>
        <v>2760.2902600000002</v>
      </c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8"/>
      <c r="X115" s="358"/>
      <c r="Y115" s="358"/>
      <c r="Z115" s="358"/>
      <c r="AA115" s="354"/>
    </row>
    <row r="116" spans="1:27" ht="30.75" customHeight="1">
      <c r="A116" s="957"/>
      <c r="B116" s="411" t="s">
        <v>133</v>
      </c>
      <c r="C116" s="414">
        <v>88309</v>
      </c>
      <c r="D116" s="571" t="s">
        <v>152</v>
      </c>
      <c r="E116" s="414" t="s">
        <v>116</v>
      </c>
      <c r="F116" s="554">
        <v>46.902799999999999</v>
      </c>
      <c r="G116" s="555">
        <f t="shared" si="32"/>
        <v>25.81</v>
      </c>
      <c r="H116" s="555">
        <v>5.52</v>
      </c>
      <c r="I116" s="555">
        <v>20.29</v>
      </c>
      <c r="J116" s="546">
        <f t="shared" si="33"/>
        <v>258.90345599999995</v>
      </c>
      <c r="K116" s="546">
        <f t="shared" si="34"/>
        <v>951.65781199999992</v>
      </c>
      <c r="L116" s="427">
        <f t="shared" si="35"/>
        <v>1210.5612679999999</v>
      </c>
      <c r="M116" s="357"/>
      <c r="N116" s="357"/>
      <c r="O116" s="357"/>
      <c r="P116" s="357"/>
      <c r="Q116" s="357"/>
      <c r="R116" s="357"/>
      <c r="S116" s="357"/>
      <c r="T116" s="357"/>
      <c r="U116" s="357"/>
      <c r="V116" s="357"/>
      <c r="W116" s="357"/>
      <c r="X116" s="357"/>
      <c r="Y116" s="357"/>
      <c r="Z116" s="357"/>
      <c r="AA116" s="354"/>
    </row>
    <row r="117" spans="1:27" ht="30.75" customHeight="1">
      <c r="A117" s="957"/>
      <c r="B117" s="411" t="s">
        <v>133</v>
      </c>
      <c r="C117" s="414">
        <v>88316</v>
      </c>
      <c r="D117" s="571" t="s">
        <v>148</v>
      </c>
      <c r="E117" s="414" t="s">
        <v>116</v>
      </c>
      <c r="F117" s="554">
        <v>46.902799999999999</v>
      </c>
      <c r="G117" s="555">
        <f t="shared" si="32"/>
        <v>21.299999999999997</v>
      </c>
      <c r="H117" s="555">
        <v>5.35</v>
      </c>
      <c r="I117" s="555">
        <v>15.95</v>
      </c>
      <c r="J117" s="546">
        <f t="shared" si="33"/>
        <v>250.92997999999997</v>
      </c>
      <c r="K117" s="546">
        <f t="shared" si="34"/>
        <v>748.09965999999997</v>
      </c>
      <c r="L117" s="427">
        <f t="shared" si="35"/>
        <v>999.02963999999997</v>
      </c>
      <c r="M117" s="357"/>
      <c r="N117" s="357"/>
      <c r="O117" s="357"/>
      <c r="P117" s="357"/>
      <c r="Q117" s="357"/>
      <c r="R117" s="357"/>
      <c r="S117" s="357"/>
      <c r="T117" s="357"/>
      <c r="U117" s="357"/>
      <c r="V117" s="357"/>
      <c r="W117" s="357"/>
      <c r="X117" s="357"/>
      <c r="Y117" s="357"/>
      <c r="Z117" s="357"/>
      <c r="AA117" s="354"/>
    </row>
    <row r="118" spans="1:27" ht="30.75" customHeight="1">
      <c r="A118" s="957"/>
      <c r="B118" s="566" t="s">
        <v>133</v>
      </c>
      <c r="C118" s="567">
        <v>88628</v>
      </c>
      <c r="D118" s="572" t="s">
        <v>197</v>
      </c>
      <c r="E118" s="567" t="s">
        <v>4</v>
      </c>
      <c r="F118" s="568">
        <v>0.59760000000000002</v>
      </c>
      <c r="G118" s="569">
        <f t="shared" si="32"/>
        <v>583.41999999999996</v>
      </c>
      <c r="H118" s="569">
        <v>509.56</v>
      </c>
      <c r="I118" s="569">
        <v>73.86</v>
      </c>
      <c r="J118" s="564">
        <f t="shared" si="33"/>
        <v>304.51305600000001</v>
      </c>
      <c r="K118" s="564">
        <f t="shared" si="34"/>
        <v>44.138736000000002</v>
      </c>
      <c r="L118" s="565">
        <f t="shared" si="35"/>
        <v>348.651792</v>
      </c>
      <c r="M118" s="357"/>
      <c r="N118" s="357"/>
      <c r="O118" s="357"/>
      <c r="P118" s="357"/>
      <c r="Q118" s="357"/>
      <c r="R118" s="357"/>
      <c r="S118" s="357"/>
      <c r="T118" s="357"/>
      <c r="U118" s="357"/>
      <c r="V118" s="357"/>
      <c r="W118" s="357"/>
      <c r="X118" s="357"/>
      <c r="Y118" s="357"/>
      <c r="Z118" s="357"/>
      <c r="AA118" s="354"/>
    </row>
    <row r="119" spans="1:27" ht="30.75" customHeight="1">
      <c r="A119" s="957"/>
      <c r="B119" s="566" t="s">
        <v>133</v>
      </c>
      <c r="C119" s="567">
        <v>89993</v>
      </c>
      <c r="D119" s="572" t="s">
        <v>182</v>
      </c>
      <c r="E119" s="567" t="s">
        <v>4</v>
      </c>
      <c r="F119" s="568">
        <v>0.29509999999999997</v>
      </c>
      <c r="G119" s="569">
        <f t="shared" si="32"/>
        <v>1006.77</v>
      </c>
      <c r="H119" s="569">
        <v>659.49</v>
      </c>
      <c r="I119" s="569">
        <v>347.28</v>
      </c>
      <c r="J119" s="564">
        <f t="shared" si="33"/>
        <v>194.61549899999997</v>
      </c>
      <c r="K119" s="564">
        <f t="shared" si="34"/>
        <v>102.48232799999998</v>
      </c>
      <c r="L119" s="565">
        <f t="shared" si="35"/>
        <v>297.09782699999994</v>
      </c>
      <c r="M119" s="357"/>
      <c r="N119" s="357"/>
      <c r="O119" s="357"/>
      <c r="P119" s="357"/>
      <c r="Q119" s="357"/>
      <c r="R119" s="357"/>
      <c r="S119" s="357"/>
      <c r="T119" s="357"/>
      <c r="U119" s="357"/>
      <c r="V119" s="357"/>
      <c r="W119" s="357"/>
      <c r="X119" s="357"/>
      <c r="Y119" s="357"/>
      <c r="Z119" s="357"/>
      <c r="AA119" s="354"/>
    </row>
    <row r="120" spans="1:27" ht="30.75" customHeight="1">
      <c r="A120" s="957"/>
      <c r="B120" s="566" t="s">
        <v>133</v>
      </c>
      <c r="C120" s="567">
        <v>89995</v>
      </c>
      <c r="D120" s="572" t="s">
        <v>183</v>
      </c>
      <c r="E120" s="567" t="s">
        <v>4</v>
      </c>
      <c r="F120" s="568">
        <v>0.1661</v>
      </c>
      <c r="G120" s="569">
        <f t="shared" si="32"/>
        <v>972.89</v>
      </c>
      <c r="H120" s="569">
        <v>652.91</v>
      </c>
      <c r="I120" s="569">
        <v>319.98</v>
      </c>
      <c r="J120" s="564">
        <f t="shared" si="33"/>
        <v>108.44835099999999</v>
      </c>
      <c r="K120" s="564">
        <f t="shared" si="34"/>
        <v>53.148678000000004</v>
      </c>
      <c r="L120" s="565">
        <f t="shared" si="35"/>
        <v>161.59702899999999</v>
      </c>
      <c r="M120" s="357"/>
      <c r="N120" s="357"/>
      <c r="O120" s="357"/>
      <c r="P120" s="357"/>
      <c r="Q120" s="357"/>
      <c r="R120" s="357"/>
      <c r="S120" s="357"/>
      <c r="T120" s="357"/>
      <c r="U120" s="357"/>
      <c r="V120" s="357"/>
      <c r="W120" s="357"/>
      <c r="X120" s="357"/>
      <c r="Y120" s="357"/>
      <c r="Z120" s="357"/>
      <c r="AA120" s="354"/>
    </row>
    <row r="121" spans="1:27" ht="30.75" customHeight="1">
      <c r="A121" s="957"/>
      <c r="B121" s="566" t="s">
        <v>133</v>
      </c>
      <c r="C121" s="567">
        <v>89996</v>
      </c>
      <c r="D121" s="572" t="s">
        <v>184</v>
      </c>
      <c r="E121" s="567" t="s">
        <v>147</v>
      </c>
      <c r="F121" s="568">
        <v>8.9535999999999998</v>
      </c>
      <c r="G121" s="569">
        <f t="shared" si="32"/>
        <v>11.57</v>
      </c>
      <c r="H121" s="569">
        <v>9.7100000000000009</v>
      </c>
      <c r="I121" s="569">
        <v>1.86</v>
      </c>
      <c r="J121" s="564">
        <f t="shared" si="33"/>
        <v>86.939456000000007</v>
      </c>
      <c r="K121" s="564">
        <f t="shared" si="34"/>
        <v>16.653696</v>
      </c>
      <c r="L121" s="565">
        <f t="shared" si="35"/>
        <v>103.593152</v>
      </c>
      <c r="M121" s="357"/>
      <c r="N121" s="357"/>
      <c r="O121" s="357"/>
      <c r="P121" s="357"/>
      <c r="Q121" s="357"/>
      <c r="R121" s="357"/>
      <c r="S121" s="357"/>
      <c r="T121" s="357"/>
      <c r="U121" s="357"/>
      <c r="V121" s="357"/>
      <c r="W121" s="357"/>
      <c r="X121" s="357"/>
      <c r="Y121" s="357"/>
      <c r="Z121" s="357"/>
      <c r="AA121" s="354"/>
    </row>
    <row r="122" spans="1:27" ht="30.75" customHeight="1">
      <c r="A122" s="957"/>
      <c r="B122" s="566" t="s">
        <v>133</v>
      </c>
      <c r="C122" s="567">
        <v>89998</v>
      </c>
      <c r="D122" s="572" t="s">
        <v>185</v>
      </c>
      <c r="E122" s="567" t="s">
        <v>147</v>
      </c>
      <c r="F122" s="568">
        <v>6.6635999999999997</v>
      </c>
      <c r="G122" s="569">
        <f t="shared" si="32"/>
        <v>11.06</v>
      </c>
      <c r="H122" s="569">
        <v>9.59</v>
      </c>
      <c r="I122" s="569">
        <v>1.47</v>
      </c>
      <c r="J122" s="564">
        <f t="shared" si="33"/>
        <v>63.903923999999996</v>
      </c>
      <c r="K122" s="564">
        <f t="shared" si="34"/>
        <v>9.7954919999999994</v>
      </c>
      <c r="L122" s="565">
        <f t="shared" si="35"/>
        <v>73.699415999999999</v>
      </c>
      <c r="M122" s="357"/>
      <c r="N122" s="357"/>
      <c r="O122" s="357"/>
      <c r="P122" s="357"/>
      <c r="Q122" s="357"/>
      <c r="R122" s="357"/>
      <c r="S122" s="357"/>
      <c r="T122" s="357"/>
      <c r="U122" s="357"/>
      <c r="V122" s="357"/>
      <c r="W122" s="357"/>
      <c r="X122" s="357"/>
      <c r="Y122" s="357"/>
      <c r="Z122" s="357"/>
      <c r="AA122" s="354"/>
    </row>
    <row r="123" spans="1:27" ht="48.75" customHeight="1">
      <c r="A123" s="957"/>
      <c r="B123" s="411" t="s">
        <v>133</v>
      </c>
      <c r="C123" s="414">
        <v>101621</v>
      </c>
      <c r="D123" s="571" t="s">
        <v>201</v>
      </c>
      <c r="E123" s="414" t="s">
        <v>4</v>
      </c>
      <c r="F123" s="554">
        <v>0.70299999999999996</v>
      </c>
      <c r="G123" s="555">
        <f t="shared" si="32"/>
        <v>215.53</v>
      </c>
      <c r="H123" s="555">
        <v>120.67</v>
      </c>
      <c r="I123" s="555">
        <v>94.86</v>
      </c>
      <c r="J123" s="546">
        <f t="shared" si="33"/>
        <v>84.831009999999992</v>
      </c>
      <c r="K123" s="546">
        <f t="shared" si="34"/>
        <v>66.686579999999992</v>
      </c>
      <c r="L123" s="427">
        <f t="shared" si="35"/>
        <v>151.51758999999998</v>
      </c>
      <c r="M123" s="357"/>
      <c r="N123" s="357"/>
      <c r="O123" s="357"/>
      <c r="P123" s="357"/>
      <c r="Q123" s="357"/>
      <c r="R123" s="357"/>
      <c r="S123" s="357"/>
      <c r="T123" s="357"/>
      <c r="U123" s="357"/>
      <c r="V123" s="357"/>
      <c r="W123" s="357"/>
      <c r="X123" s="357"/>
      <c r="Y123" s="357"/>
      <c r="Z123" s="357"/>
      <c r="AA123" s="354"/>
    </row>
    <row r="124" spans="1:27" ht="30.75" customHeight="1">
      <c r="A124" s="957"/>
      <c r="B124" s="556" t="s">
        <v>133</v>
      </c>
      <c r="C124" s="557">
        <v>97735</v>
      </c>
      <c r="D124" s="573" t="s">
        <v>189</v>
      </c>
      <c r="E124" s="557" t="s">
        <v>4</v>
      </c>
      <c r="F124" s="559">
        <v>0.53200000000000003</v>
      </c>
      <c r="G124" s="560">
        <f t="shared" si="32"/>
        <v>2414.31</v>
      </c>
      <c r="H124" s="560">
        <v>1282.57</v>
      </c>
      <c r="I124" s="560">
        <v>1131.74</v>
      </c>
      <c r="J124" s="552">
        <f t="shared" si="33"/>
        <v>682.32723999999996</v>
      </c>
      <c r="K124" s="552">
        <f t="shared" si="34"/>
        <v>602.08568000000002</v>
      </c>
      <c r="L124" s="429">
        <f t="shared" si="35"/>
        <v>1284.41292</v>
      </c>
      <c r="M124" s="357"/>
      <c r="N124" s="357"/>
      <c r="O124" s="357"/>
      <c r="P124" s="357"/>
      <c r="Q124" s="357"/>
      <c r="R124" s="357"/>
      <c r="S124" s="357"/>
      <c r="T124" s="357"/>
      <c r="U124" s="357"/>
      <c r="V124" s="357"/>
      <c r="W124" s="357"/>
      <c r="X124" s="357"/>
      <c r="Y124" s="357"/>
      <c r="Z124" s="357"/>
      <c r="AA124" s="354"/>
    </row>
    <row r="125" spans="1:27" ht="15.75" customHeight="1" thickBot="1">
      <c r="A125" s="958"/>
      <c r="B125" s="964" t="s">
        <v>85</v>
      </c>
      <c r="C125" s="965"/>
      <c r="D125" s="965"/>
      <c r="E125" s="965"/>
      <c r="F125" s="965"/>
      <c r="G125" s="965"/>
      <c r="H125" s="965"/>
      <c r="I125" s="966"/>
      <c r="J125" s="500">
        <f t="shared" ref="J125:L125" si="36">SUM(J111:J124)</f>
        <v>5297.6054859999995</v>
      </c>
      <c r="K125" s="501">
        <f t="shared" si="36"/>
        <v>2662.5066670000001</v>
      </c>
      <c r="L125" s="51">
        <f t="shared" si="36"/>
        <v>7960.1121529999991</v>
      </c>
    </row>
    <row r="126" spans="1:27" ht="15.75" customHeight="1">
      <c r="A126" s="354"/>
      <c r="B126" s="354"/>
      <c r="C126" s="354"/>
      <c r="D126" s="355"/>
      <c r="E126" s="354"/>
      <c r="F126" s="354"/>
      <c r="G126" s="354"/>
      <c r="H126" s="354"/>
      <c r="I126" s="354"/>
      <c r="J126" s="354"/>
      <c r="K126" s="354"/>
      <c r="L126" s="354"/>
      <c r="M126" s="354"/>
    </row>
    <row r="127" spans="1:27" ht="15.75" customHeight="1" thickBot="1"/>
    <row r="128" spans="1:27" ht="15.75" customHeight="1">
      <c r="A128" s="993" t="s">
        <v>483</v>
      </c>
      <c r="B128" s="430" t="s">
        <v>93</v>
      </c>
      <c r="C128" s="967" t="s">
        <v>204</v>
      </c>
      <c r="D128" s="960"/>
      <c r="E128" s="960"/>
      <c r="F128" s="960"/>
      <c r="G128" s="960"/>
      <c r="H128" s="960"/>
      <c r="I128" s="960"/>
      <c r="J128" s="960"/>
      <c r="K128" s="960"/>
      <c r="L128" s="961"/>
    </row>
    <row r="129" spans="1:12" ht="15.75" customHeight="1">
      <c r="A129" s="957"/>
      <c r="B129" s="45" t="s">
        <v>94</v>
      </c>
      <c r="C129" s="968" t="s">
        <v>205</v>
      </c>
      <c r="D129" s="969"/>
      <c r="E129" s="969"/>
      <c r="F129" s="969"/>
      <c r="G129" s="969"/>
      <c r="H129" s="969"/>
      <c r="I129" s="969"/>
      <c r="J129" s="969"/>
      <c r="K129" s="969"/>
      <c r="L129" s="970"/>
    </row>
    <row r="130" spans="1:12" ht="15.75" customHeight="1">
      <c r="A130" s="957"/>
      <c r="B130" s="46" t="s">
        <v>96</v>
      </c>
      <c r="C130" s="971" t="s">
        <v>14</v>
      </c>
      <c r="D130" s="972"/>
      <c r="E130" s="972"/>
      <c r="F130" s="972"/>
      <c r="G130" s="972"/>
      <c r="H130" s="972"/>
      <c r="I130" s="972"/>
      <c r="J130" s="972"/>
      <c r="K130" s="972"/>
      <c r="L130" s="973"/>
    </row>
    <row r="131" spans="1:12" ht="30" customHeight="1">
      <c r="A131" s="957"/>
      <c r="B131" s="45" t="s">
        <v>98</v>
      </c>
      <c r="C131" s="47" t="s">
        <v>12</v>
      </c>
      <c r="D131" s="96" t="s">
        <v>99</v>
      </c>
      <c r="E131" s="47" t="s">
        <v>96</v>
      </c>
      <c r="F131" s="47" t="s">
        <v>100</v>
      </c>
      <c r="G131" s="48" t="s">
        <v>145</v>
      </c>
      <c r="H131" s="48" t="s">
        <v>102</v>
      </c>
      <c r="I131" s="48" t="s">
        <v>103</v>
      </c>
      <c r="J131" s="48" t="s">
        <v>104</v>
      </c>
      <c r="K131" s="48" t="s">
        <v>105</v>
      </c>
      <c r="L131" s="49" t="s">
        <v>106</v>
      </c>
    </row>
    <row r="132" spans="1:12" ht="33" customHeight="1">
      <c r="A132" s="957"/>
      <c r="B132" s="447" t="s">
        <v>133</v>
      </c>
      <c r="C132" s="450">
        <v>86880</v>
      </c>
      <c r="D132" s="454" t="s">
        <v>206</v>
      </c>
      <c r="E132" s="450" t="s">
        <v>127</v>
      </c>
      <c r="F132" s="457">
        <v>1</v>
      </c>
      <c r="G132" s="461">
        <f t="shared" ref="G132:G135" si="37">H132+I132</f>
        <v>33.869999999999997</v>
      </c>
      <c r="H132" s="461">
        <v>30.49</v>
      </c>
      <c r="I132" s="461">
        <v>3.38</v>
      </c>
      <c r="J132" s="465">
        <f t="shared" ref="J132:J135" si="38">H132*F132</f>
        <v>30.49</v>
      </c>
      <c r="K132" s="465">
        <f t="shared" ref="K132:K135" si="39">I132*F132</f>
        <v>3.38</v>
      </c>
      <c r="L132" s="466">
        <f t="shared" ref="L132:L135" si="40">K132+J132</f>
        <v>33.869999999999997</v>
      </c>
    </row>
    <row r="133" spans="1:12" ht="33" customHeight="1">
      <c r="A133" s="957"/>
      <c r="B133" s="448" t="s">
        <v>133</v>
      </c>
      <c r="C133" s="453">
        <v>86882</v>
      </c>
      <c r="D133" s="455" t="s">
        <v>207</v>
      </c>
      <c r="E133" s="453" t="s">
        <v>127</v>
      </c>
      <c r="F133" s="458">
        <v>1.0001</v>
      </c>
      <c r="G133" s="462">
        <f t="shared" si="37"/>
        <v>28.34</v>
      </c>
      <c r="H133" s="462">
        <v>24.62</v>
      </c>
      <c r="I133" s="462">
        <v>3.72</v>
      </c>
      <c r="J133" s="465">
        <f t="shared" si="38"/>
        <v>24.622462000000002</v>
      </c>
      <c r="K133" s="465">
        <f t="shared" si="39"/>
        <v>3.7203720000000002</v>
      </c>
      <c r="L133" s="466">
        <f t="shared" si="40"/>
        <v>28.342834000000003</v>
      </c>
    </row>
    <row r="134" spans="1:12" ht="33" customHeight="1">
      <c r="A134" s="957"/>
      <c r="B134" s="468" t="s">
        <v>107</v>
      </c>
      <c r="C134" s="452">
        <v>37412</v>
      </c>
      <c r="D134" s="455" t="s">
        <v>205</v>
      </c>
      <c r="E134" s="452" t="s">
        <v>127</v>
      </c>
      <c r="F134" s="459">
        <v>1</v>
      </c>
      <c r="G134" s="463">
        <f t="shared" si="37"/>
        <v>298.14</v>
      </c>
      <c r="H134" s="463">
        <v>298.14</v>
      </c>
      <c r="I134" s="463">
        <v>0</v>
      </c>
      <c r="J134" s="461">
        <f t="shared" si="38"/>
        <v>298.14</v>
      </c>
      <c r="K134" s="465">
        <f t="shared" si="39"/>
        <v>0</v>
      </c>
      <c r="L134" s="466">
        <f t="shared" si="40"/>
        <v>298.14</v>
      </c>
    </row>
    <row r="135" spans="1:12" ht="33" customHeight="1">
      <c r="A135" s="957"/>
      <c r="B135" s="449" t="s">
        <v>133</v>
      </c>
      <c r="C135" s="451">
        <v>86911</v>
      </c>
      <c r="D135" s="456" t="s">
        <v>209</v>
      </c>
      <c r="E135" s="451" t="s">
        <v>116</v>
      </c>
      <c r="F135" s="460">
        <v>1</v>
      </c>
      <c r="G135" s="464">
        <f t="shared" si="37"/>
        <v>121.75</v>
      </c>
      <c r="H135" s="464">
        <v>118.56</v>
      </c>
      <c r="I135" s="464">
        <v>3.19</v>
      </c>
      <c r="J135" s="463">
        <f t="shared" si="38"/>
        <v>118.56</v>
      </c>
      <c r="K135" s="461">
        <f t="shared" si="39"/>
        <v>3.19</v>
      </c>
      <c r="L135" s="467">
        <f t="shared" si="40"/>
        <v>121.75</v>
      </c>
    </row>
    <row r="136" spans="1:12" ht="15.75" customHeight="1" thickBot="1">
      <c r="A136" s="958"/>
      <c r="B136" s="953" t="s">
        <v>85</v>
      </c>
      <c r="C136" s="965"/>
      <c r="D136" s="965"/>
      <c r="E136" s="965"/>
      <c r="F136" s="965"/>
      <c r="G136" s="965"/>
      <c r="H136" s="965"/>
      <c r="I136" s="966"/>
      <c r="J136" s="52">
        <f t="shared" ref="J136:L136" si="41">SUM(J132:J135)</f>
        <v>471.81246199999998</v>
      </c>
      <c r="K136" s="52">
        <f t="shared" si="41"/>
        <v>10.290372</v>
      </c>
      <c r="L136" s="51">
        <f t="shared" si="41"/>
        <v>482.10283399999997</v>
      </c>
    </row>
    <row r="137" spans="1:12" ht="15.75" customHeight="1" thickBot="1">
      <c r="B137" s="354"/>
      <c r="C137" s="354"/>
      <c r="D137" s="355"/>
      <c r="E137" s="354"/>
      <c r="F137" s="354"/>
      <c r="G137" s="354"/>
      <c r="H137" s="354"/>
      <c r="I137" s="354"/>
      <c r="J137" s="354"/>
      <c r="K137" s="354"/>
      <c r="L137" s="354"/>
    </row>
    <row r="138" spans="1:12" ht="16.5" customHeight="1">
      <c r="A138" s="956" t="s">
        <v>261</v>
      </c>
      <c r="B138" s="430" t="s">
        <v>93</v>
      </c>
      <c r="C138" s="994" t="s">
        <v>527</v>
      </c>
      <c r="D138" s="995"/>
      <c r="E138" s="995"/>
      <c r="F138" s="995"/>
      <c r="G138" s="995"/>
      <c r="H138" s="995"/>
      <c r="I138" s="995"/>
      <c r="J138" s="995"/>
      <c r="K138" s="995"/>
      <c r="L138" s="996"/>
    </row>
    <row r="139" spans="1:12" ht="15.75" customHeight="1">
      <c r="A139" s="957"/>
      <c r="B139" s="45" t="s">
        <v>94</v>
      </c>
      <c r="C139" s="947" t="s">
        <v>528</v>
      </c>
      <c r="D139" s="948"/>
      <c r="E139" s="948"/>
      <c r="F139" s="948"/>
      <c r="G139" s="948"/>
      <c r="H139" s="948"/>
      <c r="I139" s="948"/>
      <c r="J139" s="948"/>
      <c r="K139" s="948"/>
      <c r="L139" s="949"/>
    </row>
    <row r="140" spans="1:12" ht="15.75" customHeight="1">
      <c r="A140" s="957"/>
      <c r="B140" s="46" t="s">
        <v>96</v>
      </c>
      <c r="C140" s="950" t="s">
        <v>108</v>
      </c>
      <c r="D140" s="951"/>
      <c r="E140" s="951"/>
      <c r="F140" s="951"/>
      <c r="G140" s="951"/>
      <c r="H140" s="951"/>
      <c r="I140" s="951"/>
      <c r="J140" s="951"/>
      <c r="K140" s="951"/>
      <c r="L140" s="952"/>
    </row>
    <row r="141" spans="1:12" ht="42.75" customHeight="1">
      <c r="A141" s="957"/>
      <c r="B141" s="45" t="s">
        <v>98</v>
      </c>
      <c r="C141" s="47" t="s">
        <v>12</v>
      </c>
      <c r="D141" s="96" t="s">
        <v>99</v>
      </c>
      <c r="E141" s="47" t="s">
        <v>96</v>
      </c>
      <c r="F141" s="47" t="s">
        <v>100</v>
      </c>
      <c r="G141" s="48" t="s">
        <v>145</v>
      </c>
      <c r="H141" s="48" t="s">
        <v>102</v>
      </c>
      <c r="I141" s="48" t="s">
        <v>103</v>
      </c>
      <c r="J141" s="48" t="s">
        <v>104</v>
      </c>
      <c r="K141" s="48" t="s">
        <v>105</v>
      </c>
      <c r="L141" s="49" t="s">
        <v>106</v>
      </c>
    </row>
    <row r="142" spans="1:12" ht="33.75" customHeight="1">
      <c r="A142" s="957"/>
      <c r="B142" s="362" t="s">
        <v>107</v>
      </c>
      <c r="C142" s="351">
        <v>1062</v>
      </c>
      <c r="D142" s="575" t="s">
        <v>529</v>
      </c>
      <c r="E142" s="351" t="s">
        <v>108</v>
      </c>
      <c r="F142" s="353">
        <v>1</v>
      </c>
      <c r="G142" s="353">
        <f t="shared" ref="G142:G164" si="42">H142+I142</f>
        <v>314.36</v>
      </c>
      <c r="H142" s="353">
        <v>314.36</v>
      </c>
      <c r="I142" s="353">
        <v>0</v>
      </c>
      <c r="J142" s="353">
        <f t="shared" ref="J142:J164" si="43">F142*H142</f>
        <v>314.36</v>
      </c>
      <c r="K142" s="428">
        <f t="shared" ref="K142:K164" si="44">I142*F142</f>
        <v>0</v>
      </c>
      <c r="L142" s="427">
        <f t="shared" ref="L142:L164" si="45">K142+J142</f>
        <v>314.36</v>
      </c>
    </row>
    <row r="143" spans="1:12" ht="29.25" customHeight="1">
      <c r="A143" s="957"/>
      <c r="B143" s="362" t="s">
        <v>107</v>
      </c>
      <c r="C143" s="351">
        <v>1094</v>
      </c>
      <c r="D143" s="575" t="s">
        <v>530</v>
      </c>
      <c r="E143" s="351" t="s">
        <v>108</v>
      </c>
      <c r="F143" s="353">
        <v>1</v>
      </c>
      <c r="G143" s="353">
        <f t="shared" si="42"/>
        <v>26.15</v>
      </c>
      <c r="H143" s="353">
        <v>26.15</v>
      </c>
      <c r="I143" s="353">
        <v>0</v>
      </c>
      <c r="J143" s="353">
        <f t="shared" si="43"/>
        <v>26.15</v>
      </c>
      <c r="K143" s="428">
        <f t="shared" si="44"/>
        <v>0</v>
      </c>
      <c r="L143" s="427">
        <f t="shared" si="45"/>
        <v>26.15</v>
      </c>
    </row>
    <row r="144" spans="1:12" ht="31.5" customHeight="1">
      <c r="A144" s="957"/>
      <c r="B144" s="362" t="s">
        <v>107</v>
      </c>
      <c r="C144" s="351">
        <v>3398</v>
      </c>
      <c r="D144" s="575" t="s">
        <v>531</v>
      </c>
      <c r="E144" s="351" t="s">
        <v>108</v>
      </c>
      <c r="F144" s="353">
        <v>1</v>
      </c>
      <c r="G144" s="353">
        <f t="shared" si="42"/>
        <v>5.24</v>
      </c>
      <c r="H144" s="353">
        <v>5.24</v>
      </c>
      <c r="I144" s="353">
        <v>0</v>
      </c>
      <c r="J144" s="353">
        <f t="shared" si="43"/>
        <v>5.24</v>
      </c>
      <c r="K144" s="428">
        <f t="shared" si="44"/>
        <v>0</v>
      </c>
      <c r="L144" s="427">
        <f t="shared" si="45"/>
        <v>5.24</v>
      </c>
    </row>
    <row r="145" spans="1:12" ht="35.25" customHeight="1">
      <c r="A145" s="957"/>
      <c r="B145" s="362" t="s">
        <v>107</v>
      </c>
      <c r="C145" s="351">
        <v>4346</v>
      </c>
      <c r="D145" s="575" t="s">
        <v>532</v>
      </c>
      <c r="E145" s="351" t="s">
        <v>108</v>
      </c>
      <c r="F145" s="353">
        <v>3</v>
      </c>
      <c r="G145" s="353">
        <f t="shared" si="42"/>
        <v>10.82</v>
      </c>
      <c r="H145" s="633">
        <v>10.82</v>
      </c>
      <c r="I145" s="353">
        <v>0</v>
      </c>
      <c r="J145" s="353">
        <f t="shared" si="43"/>
        <v>32.46</v>
      </c>
      <c r="K145" s="428">
        <f t="shared" si="44"/>
        <v>0</v>
      </c>
      <c r="L145" s="427">
        <f t="shared" si="45"/>
        <v>32.46</v>
      </c>
    </row>
    <row r="146" spans="1:12" ht="34.5" customHeight="1">
      <c r="A146" s="957"/>
      <c r="B146" s="362" t="s">
        <v>107</v>
      </c>
      <c r="C146" s="351">
        <v>11267</v>
      </c>
      <c r="D146" s="575" t="s">
        <v>533</v>
      </c>
      <c r="E146" s="351" t="s">
        <v>108</v>
      </c>
      <c r="F146" s="353">
        <v>2</v>
      </c>
      <c r="G146" s="353">
        <f t="shared" si="42"/>
        <v>1.56</v>
      </c>
      <c r="H146" s="353">
        <v>1.56</v>
      </c>
      <c r="I146" s="353">
        <v>0</v>
      </c>
      <c r="J146" s="353">
        <f t="shared" si="43"/>
        <v>3.12</v>
      </c>
      <c r="K146" s="428">
        <f t="shared" si="44"/>
        <v>0</v>
      </c>
      <c r="L146" s="427">
        <f t="shared" si="45"/>
        <v>3.12</v>
      </c>
    </row>
    <row r="147" spans="1:12" ht="36" customHeight="1">
      <c r="A147" s="957"/>
      <c r="B147" s="362" t="s">
        <v>107</v>
      </c>
      <c r="C147" s="351">
        <v>11864</v>
      </c>
      <c r="D147" s="575" t="s">
        <v>534</v>
      </c>
      <c r="E147" s="351" t="s">
        <v>108</v>
      </c>
      <c r="F147" s="353">
        <v>1</v>
      </c>
      <c r="G147" s="353">
        <f t="shared" si="42"/>
        <v>37.369999999999997</v>
      </c>
      <c r="H147" s="353">
        <v>37.369999999999997</v>
      </c>
      <c r="I147" s="353">
        <v>0</v>
      </c>
      <c r="J147" s="353">
        <f t="shared" si="43"/>
        <v>37.369999999999997</v>
      </c>
      <c r="K147" s="428">
        <f t="shared" si="44"/>
        <v>0</v>
      </c>
      <c r="L147" s="427">
        <f t="shared" si="45"/>
        <v>37.369999999999997</v>
      </c>
    </row>
    <row r="148" spans="1:12" ht="33.75" customHeight="1">
      <c r="A148" s="957"/>
      <c r="B148" s="362" t="s">
        <v>107</v>
      </c>
      <c r="C148" s="351">
        <v>14153</v>
      </c>
      <c r="D148" s="575" t="s">
        <v>535</v>
      </c>
      <c r="E148" s="351" t="s">
        <v>108</v>
      </c>
      <c r="F148" s="353">
        <v>0.06</v>
      </c>
      <c r="G148" s="353">
        <f t="shared" si="42"/>
        <v>55.49</v>
      </c>
      <c r="H148" s="353">
        <v>55.49</v>
      </c>
      <c r="I148" s="353">
        <v>0</v>
      </c>
      <c r="J148" s="353">
        <f t="shared" si="43"/>
        <v>3.3294000000000001</v>
      </c>
      <c r="K148" s="428">
        <f t="shared" si="44"/>
        <v>0</v>
      </c>
      <c r="L148" s="427">
        <f t="shared" si="45"/>
        <v>3.3294000000000001</v>
      </c>
    </row>
    <row r="149" spans="1:12" ht="36.75" customHeight="1">
      <c r="A149" s="957"/>
      <c r="B149" s="362" t="s">
        <v>107</v>
      </c>
      <c r="C149" s="351">
        <v>34643</v>
      </c>
      <c r="D149" s="575" t="s">
        <v>536</v>
      </c>
      <c r="E149" s="351" t="s">
        <v>108</v>
      </c>
      <c r="F149" s="353">
        <v>1</v>
      </c>
      <c r="G149" s="353">
        <f t="shared" si="42"/>
        <v>46.43</v>
      </c>
      <c r="H149" s="353">
        <v>46.43</v>
      </c>
      <c r="I149" s="353">
        <v>0</v>
      </c>
      <c r="J149" s="353">
        <f t="shared" si="43"/>
        <v>46.43</v>
      </c>
      <c r="K149" s="428">
        <f t="shared" si="44"/>
        <v>0</v>
      </c>
      <c r="L149" s="427">
        <f t="shared" si="45"/>
        <v>46.43</v>
      </c>
    </row>
    <row r="150" spans="1:12" ht="27" customHeight="1">
      <c r="A150" s="957"/>
      <c r="B150" s="362" t="s">
        <v>107</v>
      </c>
      <c r="C150" s="351">
        <v>39996</v>
      </c>
      <c r="D150" s="575" t="s">
        <v>537</v>
      </c>
      <c r="E150" s="362" t="s">
        <v>111</v>
      </c>
      <c r="F150" s="353">
        <v>0.17</v>
      </c>
      <c r="G150" s="353">
        <f t="shared" si="42"/>
        <v>4.9800000000000004</v>
      </c>
      <c r="H150" s="353">
        <v>4.9800000000000004</v>
      </c>
      <c r="I150" s="353">
        <v>0</v>
      </c>
      <c r="J150" s="353">
        <f t="shared" si="43"/>
        <v>0.84660000000000013</v>
      </c>
      <c r="K150" s="428">
        <f t="shared" si="44"/>
        <v>0</v>
      </c>
      <c r="L150" s="427">
        <f t="shared" si="45"/>
        <v>0.84660000000000013</v>
      </c>
    </row>
    <row r="151" spans="1:12" ht="29.25" customHeight="1">
      <c r="A151" s="957"/>
      <c r="B151" s="362" t="s">
        <v>107</v>
      </c>
      <c r="C151" s="351">
        <v>39997</v>
      </c>
      <c r="D151" s="575" t="s">
        <v>538</v>
      </c>
      <c r="E151" s="351" t="s">
        <v>108</v>
      </c>
      <c r="F151" s="353">
        <v>2</v>
      </c>
      <c r="G151" s="353">
        <f t="shared" si="42"/>
        <v>0.32</v>
      </c>
      <c r="H151" s="353">
        <v>0.32</v>
      </c>
      <c r="I151" s="353">
        <v>0</v>
      </c>
      <c r="J151" s="353">
        <f t="shared" si="43"/>
        <v>0.64</v>
      </c>
      <c r="K151" s="428">
        <f t="shared" si="44"/>
        <v>0</v>
      </c>
      <c r="L151" s="427">
        <f t="shared" si="45"/>
        <v>0.64</v>
      </c>
    </row>
    <row r="152" spans="1:12" ht="47.25" customHeight="1">
      <c r="A152" s="957"/>
      <c r="B152" s="362" t="s">
        <v>133</v>
      </c>
      <c r="C152" s="351">
        <v>87367</v>
      </c>
      <c r="D152" s="575" t="s">
        <v>539</v>
      </c>
      <c r="E152" s="362" t="s">
        <v>281</v>
      </c>
      <c r="F152" s="353">
        <v>0.02</v>
      </c>
      <c r="G152" s="353">
        <f t="shared" si="42"/>
        <v>648.27</v>
      </c>
      <c r="H152" s="353">
        <v>648.27</v>
      </c>
      <c r="I152" s="353">
        <v>0</v>
      </c>
      <c r="J152" s="353">
        <f t="shared" si="43"/>
        <v>12.965400000000001</v>
      </c>
      <c r="K152" s="428">
        <f t="shared" si="44"/>
        <v>0</v>
      </c>
      <c r="L152" s="427">
        <f t="shared" si="45"/>
        <v>12.965400000000001</v>
      </c>
    </row>
    <row r="153" spans="1:12" ht="21.75" customHeight="1">
      <c r="A153" s="957"/>
      <c r="B153" s="362" t="s">
        <v>133</v>
      </c>
      <c r="C153" s="351">
        <v>88247</v>
      </c>
      <c r="D153" s="575" t="s">
        <v>540</v>
      </c>
      <c r="E153" s="362" t="s">
        <v>116</v>
      </c>
      <c r="F153" s="353">
        <v>0.32</v>
      </c>
      <c r="G153" s="353">
        <f t="shared" si="42"/>
        <v>24.12</v>
      </c>
      <c r="H153" s="353">
        <v>0</v>
      </c>
      <c r="I153" s="353">
        <v>24.12</v>
      </c>
      <c r="J153" s="353">
        <f t="shared" si="43"/>
        <v>0</v>
      </c>
      <c r="K153" s="428">
        <f t="shared" si="44"/>
        <v>7.7184000000000008</v>
      </c>
      <c r="L153" s="427">
        <f t="shared" si="45"/>
        <v>7.7184000000000008</v>
      </c>
    </row>
    <row r="154" spans="1:12" ht="18" customHeight="1">
      <c r="A154" s="957"/>
      <c r="B154" s="362" t="s">
        <v>133</v>
      </c>
      <c r="C154" s="351">
        <v>88264</v>
      </c>
      <c r="D154" s="575" t="s">
        <v>541</v>
      </c>
      <c r="E154" s="362" t="s">
        <v>116</v>
      </c>
      <c r="F154" s="353">
        <v>2.91</v>
      </c>
      <c r="G154" s="353">
        <f t="shared" si="42"/>
        <v>27.47</v>
      </c>
      <c r="H154" s="353">
        <v>0</v>
      </c>
      <c r="I154" s="353">
        <v>27.47</v>
      </c>
      <c r="J154" s="353">
        <f t="shared" si="43"/>
        <v>0</v>
      </c>
      <c r="K154" s="428">
        <f t="shared" si="44"/>
        <v>79.937700000000007</v>
      </c>
      <c r="L154" s="427">
        <f t="shared" si="45"/>
        <v>79.937700000000007</v>
      </c>
    </row>
    <row r="155" spans="1:12" ht="36" customHeight="1">
      <c r="A155" s="957"/>
      <c r="B155" s="362" t="s">
        <v>133</v>
      </c>
      <c r="C155" s="351">
        <v>91873</v>
      </c>
      <c r="D155" s="575" t="s">
        <v>542</v>
      </c>
      <c r="E155" s="362" t="s">
        <v>111</v>
      </c>
      <c r="F155" s="353">
        <v>6.05</v>
      </c>
      <c r="G155" s="353">
        <f t="shared" si="42"/>
        <v>24.28</v>
      </c>
      <c r="H155" s="353">
        <v>24.28</v>
      </c>
      <c r="I155" s="353">
        <v>0</v>
      </c>
      <c r="J155" s="353">
        <f t="shared" si="43"/>
        <v>146.89400000000001</v>
      </c>
      <c r="K155" s="428">
        <f t="shared" si="44"/>
        <v>0</v>
      </c>
      <c r="L155" s="427">
        <f t="shared" si="45"/>
        <v>146.89400000000001</v>
      </c>
    </row>
    <row r="156" spans="1:12" ht="35.25" customHeight="1">
      <c r="A156" s="957"/>
      <c r="B156" s="362" t="s">
        <v>133</v>
      </c>
      <c r="C156" s="351">
        <v>91886</v>
      </c>
      <c r="D156" s="575" t="s">
        <v>543</v>
      </c>
      <c r="E156" s="351" t="s">
        <v>108</v>
      </c>
      <c r="F156" s="353">
        <v>1</v>
      </c>
      <c r="G156" s="353">
        <f t="shared" si="42"/>
        <v>13.79</v>
      </c>
      <c r="H156" s="353">
        <v>13.79</v>
      </c>
      <c r="I156" s="353">
        <v>0</v>
      </c>
      <c r="J156" s="353">
        <f t="shared" si="43"/>
        <v>13.79</v>
      </c>
      <c r="K156" s="428">
        <f t="shared" si="44"/>
        <v>0</v>
      </c>
      <c r="L156" s="427">
        <f t="shared" si="45"/>
        <v>13.79</v>
      </c>
    </row>
    <row r="157" spans="1:12" ht="43.5" customHeight="1">
      <c r="A157" s="957"/>
      <c r="B157" s="362" t="s">
        <v>133</v>
      </c>
      <c r="C157" s="351">
        <v>91920</v>
      </c>
      <c r="D157" s="575" t="s">
        <v>544</v>
      </c>
      <c r="E157" s="351" t="s">
        <v>108</v>
      </c>
      <c r="F157" s="353">
        <v>1</v>
      </c>
      <c r="G157" s="353">
        <f t="shared" si="42"/>
        <v>21.67</v>
      </c>
      <c r="H157" s="353">
        <v>21.67</v>
      </c>
      <c r="I157" s="353">
        <v>0</v>
      </c>
      <c r="J157" s="353">
        <f t="shared" si="43"/>
        <v>21.67</v>
      </c>
      <c r="K157" s="428">
        <f t="shared" si="44"/>
        <v>0</v>
      </c>
      <c r="L157" s="427">
        <f t="shared" si="45"/>
        <v>21.67</v>
      </c>
    </row>
    <row r="158" spans="1:12" ht="42" customHeight="1">
      <c r="A158" s="957"/>
      <c r="B158" s="362" t="s">
        <v>133</v>
      </c>
      <c r="C158" s="351">
        <v>91922</v>
      </c>
      <c r="D158" s="575" t="s">
        <v>545</v>
      </c>
      <c r="E158" s="351" t="s">
        <v>108</v>
      </c>
      <c r="F158" s="353">
        <v>1</v>
      </c>
      <c r="G158" s="353">
        <f t="shared" si="42"/>
        <v>24.2</v>
      </c>
      <c r="H158" s="353">
        <v>24.2</v>
      </c>
      <c r="I158" s="353">
        <v>0</v>
      </c>
      <c r="J158" s="353">
        <f t="shared" si="43"/>
        <v>24.2</v>
      </c>
      <c r="K158" s="428">
        <f t="shared" si="44"/>
        <v>0</v>
      </c>
      <c r="L158" s="427">
        <f t="shared" si="45"/>
        <v>24.2</v>
      </c>
    </row>
    <row r="159" spans="1:12" ht="41.25" customHeight="1">
      <c r="A159" s="957"/>
      <c r="B159" s="362" t="s">
        <v>133</v>
      </c>
      <c r="C159" s="351">
        <v>92986</v>
      </c>
      <c r="D159" s="575" t="s">
        <v>546</v>
      </c>
      <c r="E159" s="362" t="s">
        <v>111</v>
      </c>
      <c r="F159" s="353">
        <v>22.2</v>
      </c>
      <c r="G159" s="353">
        <f t="shared" si="42"/>
        <v>34.4</v>
      </c>
      <c r="H159" s="353">
        <v>34.4</v>
      </c>
      <c r="I159" s="353">
        <v>0</v>
      </c>
      <c r="J159" s="353">
        <f t="shared" si="43"/>
        <v>763.68</v>
      </c>
      <c r="K159" s="428">
        <f t="shared" si="44"/>
        <v>0</v>
      </c>
      <c r="L159" s="427">
        <f t="shared" si="45"/>
        <v>763.68</v>
      </c>
    </row>
    <row r="160" spans="1:12" ht="21" customHeight="1">
      <c r="A160" s="957"/>
      <c r="B160" s="362" t="s">
        <v>107</v>
      </c>
      <c r="C160" s="351">
        <v>2391</v>
      </c>
      <c r="D160" s="575" t="s">
        <v>550</v>
      </c>
      <c r="E160" s="351" t="s">
        <v>108</v>
      </c>
      <c r="F160" s="353">
        <v>1</v>
      </c>
      <c r="G160" s="353">
        <f t="shared" si="42"/>
        <v>352.86</v>
      </c>
      <c r="H160" s="353">
        <v>352.86</v>
      </c>
      <c r="I160" s="353">
        <v>0</v>
      </c>
      <c r="J160" s="353">
        <f t="shared" si="43"/>
        <v>352.86</v>
      </c>
      <c r="K160" s="428">
        <f t="shared" si="44"/>
        <v>0</v>
      </c>
      <c r="L160" s="427">
        <f t="shared" si="45"/>
        <v>352.86</v>
      </c>
    </row>
    <row r="161" spans="1:12" ht="34.5" customHeight="1">
      <c r="A161" s="957"/>
      <c r="B161" s="362" t="s">
        <v>133</v>
      </c>
      <c r="C161" s="351">
        <v>96977</v>
      </c>
      <c r="D161" s="575" t="s">
        <v>547</v>
      </c>
      <c r="E161" s="362" t="s">
        <v>111</v>
      </c>
      <c r="F161" s="353">
        <v>1.95</v>
      </c>
      <c r="G161" s="353">
        <f t="shared" si="42"/>
        <v>53.62</v>
      </c>
      <c r="H161" s="353">
        <v>53.62</v>
      </c>
      <c r="I161" s="353">
        <v>0</v>
      </c>
      <c r="J161" s="353">
        <f t="shared" si="43"/>
        <v>104.559</v>
      </c>
      <c r="K161" s="428">
        <f t="shared" si="44"/>
        <v>0</v>
      </c>
      <c r="L161" s="427">
        <f t="shared" si="45"/>
        <v>104.559</v>
      </c>
    </row>
    <row r="162" spans="1:12" ht="27" customHeight="1">
      <c r="A162" s="957"/>
      <c r="B162" s="362" t="s">
        <v>133</v>
      </c>
      <c r="C162" s="351">
        <v>96986</v>
      </c>
      <c r="D162" s="575" t="s">
        <v>548</v>
      </c>
      <c r="E162" s="351" t="s">
        <v>108</v>
      </c>
      <c r="F162" s="353">
        <v>1</v>
      </c>
      <c r="G162" s="353">
        <f t="shared" si="42"/>
        <v>173.96</v>
      </c>
      <c r="H162" s="353">
        <v>173.96</v>
      </c>
      <c r="I162" s="353">
        <v>0</v>
      </c>
      <c r="J162" s="353">
        <f t="shared" si="43"/>
        <v>173.96</v>
      </c>
      <c r="K162" s="428">
        <f t="shared" si="44"/>
        <v>0</v>
      </c>
      <c r="L162" s="427">
        <f t="shared" si="45"/>
        <v>173.96</v>
      </c>
    </row>
    <row r="163" spans="1:12" ht="45" customHeight="1">
      <c r="A163" s="957"/>
      <c r="B163" s="362" t="s">
        <v>133</v>
      </c>
      <c r="C163" s="351">
        <v>100578</v>
      </c>
      <c r="D163" s="575" t="s">
        <v>549</v>
      </c>
      <c r="E163" s="351" t="s">
        <v>108</v>
      </c>
      <c r="F163" s="353">
        <v>1</v>
      </c>
      <c r="G163" s="353">
        <f t="shared" si="42"/>
        <v>458.35</v>
      </c>
      <c r="H163" s="353">
        <v>458.35</v>
      </c>
      <c r="I163" s="353">
        <v>0</v>
      </c>
      <c r="J163" s="353">
        <f t="shared" si="43"/>
        <v>458.35</v>
      </c>
      <c r="K163" s="428">
        <f t="shared" si="44"/>
        <v>0</v>
      </c>
      <c r="L163" s="427">
        <f t="shared" si="45"/>
        <v>458.35</v>
      </c>
    </row>
    <row r="164" spans="1:12" ht="38.25" customHeight="1">
      <c r="A164" s="957"/>
      <c r="B164" s="351" t="s">
        <v>107</v>
      </c>
      <c r="C164" s="351">
        <v>12366</v>
      </c>
      <c r="D164" s="575" t="s">
        <v>470</v>
      </c>
      <c r="E164" s="351" t="s">
        <v>108</v>
      </c>
      <c r="F164" s="353">
        <v>1</v>
      </c>
      <c r="G164" s="353">
        <f t="shared" si="42"/>
        <v>1409.71</v>
      </c>
      <c r="H164" s="353">
        <v>1409.71</v>
      </c>
      <c r="I164" s="353">
        <v>0</v>
      </c>
      <c r="J164" s="353">
        <f t="shared" si="43"/>
        <v>1409.71</v>
      </c>
      <c r="K164" s="422">
        <f t="shared" si="44"/>
        <v>0</v>
      </c>
      <c r="L164" s="429">
        <f t="shared" si="45"/>
        <v>1409.71</v>
      </c>
    </row>
    <row r="165" spans="1:12" ht="15.75" customHeight="1" thickBot="1">
      <c r="A165" s="958"/>
      <c r="B165" s="964" t="s">
        <v>85</v>
      </c>
      <c r="C165" s="954"/>
      <c r="D165" s="954"/>
      <c r="E165" s="954"/>
      <c r="F165" s="954"/>
      <c r="G165" s="954"/>
      <c r="H165" s="954"/>
      <c r="I165" s="955"/>
      <c r="J165" s="52">
        <f>SUM(J142:J164)</f>
        <v>3952.5843999999997</v>
      </c>
      <c r="K165" s="52">
        <f>SUM(K142:K164)</f>
        <v>87.656100000000009</v>
      </c>
      <c r="L165" s="51">
        <f>SUM(L142:L164)</f>
        <v>4040.2404999999999</v>
      </c>
    </row>
    <row r="166" spans="1:12" ht="33.75" customHeight="1" thickBot="1">
      <c r="A166" s="206"/>
    </row>
    <row r="167" spans="1:12" ht="33.75" customHeight="1">
      <c r="A167" s="956" t="s">
        <v>481</v>
      </c>
      <c r="B167" s="430" t="s">
        <v>93</v>
      </c>
      <c r="C167" s="967" t="s">
        <v>269</v>
      </c>
      <c r="D167" s="945"/>
      <c r="E167" s="945"/>
      <c r="F167" s="945"/>
      <c r="G167" s="945"/>
      <c r="H167" s="945"/>
      <c r="I167" s="945"/>
      <c r="J167" s="945"/>
      <c r="K167" s="945"/>
      <c r="L167" s="946"/>
    </row>
    <row r="168" spans="1:12" ht="33.75" customHeight="1">
      <c r="A168" s="963"/>
      <c r="B168" s="45" t="s">
        <v>94</v>
      </c>
      <c r="C168" s="968" t="s">
        <v>270</v>
      </c>
      <c r="D168" s="969"/>
      <c r="E168" s="969"/>
      <c r="F168" s="969"/>
      <c r="G168" s="969"/>
      <c r="H168" s="969"/>
      <c r="I168" s="969"/>
      <c r="J168" s="969"/>
      <c r="K168" s="969"/>
      <c r="L168" s="970"/>
    </row>
    <row r="169" spans="1:12" ht="33.75" customHeight="1">
      <c r="A169" s="963"/>
      <c r="B169" s="46" t="s">
        <v>96</v>
      </c>
      <c r="C169" s="971" t="s">
        <v>41</v>
      </c>
      <c r="D169" s="951"/>
      <c r="E169" s="951"/>
      <c r="F169" s="951"/>
      <c r="G169" s="951"/>
      <c r="H169" s="951"/>
      <c r="I169" s="951"/>
      <c r="J169" s="951"/>
      <c r="K169" s="951"/>
      <c r="L169" s="952"/>
    </row>
    <row r="170" spans="1:12" ht="41.25" customHeight="1">
      <c r="A170" s="963"/>
      <c r="B170" s="45" t="s">
        <v>98</v>
      </c>
      <c r="C170" s="47" t="s">
        <v>12</v>
      </c>
      <c r="D170" s="96" t="s">
        <v>99</v>
      </c>
      <c r="E170" s="47" t="s">
        <v>96</v>
      </c>
      <c r="F170" s="47" t="s">
        <v>100</v>
      </c>
      <c r="G170" s="48" t="s">
        <v>145</v>
      </c>
      <c r="H170" s="48" t="s">
        <v>102</v>
      </c>
      <c r="I170" s="48" t="s">
        <v>103</v>
      </c>
      <c r="J170" s="48" t="s">
        <v>104</v>
      </c>
      <c r="K170" s="48" t="s">
        <v>105</v>
      </c>
      <c r="L170" s="49" t="s">
        <v>106</v>
      </c>
    </row>
    <row r="171" spans="1:12" ht="27.75" customHeight="1">
      <c r="A171" s="963"/>
      <c r="B171" s="351" t="s">
        <v>107</v>
      </c>
      <c r="C171" s="351">
        <v>7568</v>
      </c>
      <c r="D171" s="352" t="s">
        <v>273</v>
      </c>
      <c r="E171" s="362" t="s">
        <v>108</v>
      </c>
      <c r="F171" s="356">
        <v>3.9409999999999998</v>
      </c>
      <c r="G171" s="353">
        <f t="shared" ref="G171:G177" si="46">H171+I171</f>
        <v>1.22</v>
      </c>
      <c r="H171" s="353">
        <v>1.22</v>
      </c>
      <c r="I171" s="353">
        <v>0</v>
      </c>
      <c r="J171" s="353">
        <f t="shared" ref="J171" si="47">F171*H171</f>
        <v>4.80802</v>
      </c>
      <c r="K171" s="428">
        <f t="shared" ref="K171" si="48">I171*F171</f>
        <v>0</v>
      </c>
      <c r="L171" s="427">
        <f t="shared" ref="L171" si="49">K171+J171</f>
        <v>4.80802</v>
      </c>
    </row>
    <row r="172" spans="1:12" ht="15.75" customHeight="1">
      <c r="A172" s="963"/>
      <c r="B172" s="351" t="s">
        <v>107</v>
      </c>
      <c r="C172" s="351">
        <v>11002</v>
      </c>
      <c r="D172" s="352" t="s">
        <v>272</v>
      </c>
      <c r="E172" s="351" t="s">
        <v>147</v>
      </c>
      <c r="F172" s="356">
        <v>1.4999999999999999E-2</v>
      </c>
      <c r="G172" s="353">
        <f t="shared" si="46"/>
        <v>54.47</v>
      </c>
      <c r="H172" s="353">
        <v>54.47</v>
      </c>
      <c r="I172" s="353">
        <v>0</v>
      </c>
      <c r="J172" s="353">
        <f t="shared" ref="J172:J177" si="50">F172*H172</f>
        <v>0.81704999999999994</v>
      </c>
      <c r="K172" s="428">
        <f t="shared" ref="K172:K177" si="51">I172*F172</f>
        <v>0</v>
      </c>
      <c r="L172" s="427">
        <f t="shared" ref="L172:L177" si="52">K172+J172</f>
        <v>0.81704999999999994</v>
      </c>
    </row>
    <row r="173" spans="1:12" ht="15.75" customHeight="1">
      <c r="A173" s="963"/>
      <c r="B173" s="351" t="s">
        <v>107</v>
      </c>
      <c r="C173" s="351">
        <v>11033</v>
      </c>
      <c r="D173" s="352" t="s">
        <v>271</v>
      </c>
      <c r="E173" s="351" t="s">
        <v>265</v>
      </c>
      <c r="F173" s="356">
        <v>2.371</v>
      </c>
      <c r="G173" s="353">
        <f t="shared" si="46"/>
        <v>6.54</v>
      </c>
      <c r="H173" s="353">
        <v>6.54</v>
      </c>
      <c r="I173" s="353">
        <v>0</v>
      </c>
      <c r="J173" s="353">
        <f t="shared" si="50"/>
        <v>15.50634</v>
      </c>
      <c r="K173" s="428">
        <f t="shared" si="51"/>
        <v>0</v>
      </c>
      <c r="L173" s="427">
        <f t="shared" si="52"/>
        <v>15.50634</v>
      </c>
    </row>
    <row r="174" spans="1:12" ht="15.75" customHeight="1">
      <c r="A174" s="963"/>
      <c r="B174" s="410" t="s">
        <v>107</v>
      </c>
      <c r="C174" s="415">
        <v>21012</v>
      </c>
      <c r="D174" s="431" t="s">
        <v>274</v>
      </c>
      <c r="E174" s="415" t="s">
        <v>111</v>
      </c>
      <c r="F174" s="420">
        <v>2.5139999999999998</v>
      </c>
      <c r="G174" s="408">
        <f t="shared" si="46"/>
        <v>52.2</v>
      </c>
      <c r="H174" s="422">
        <v>52.2</v>
      </c>
      <c r="I174" s="421">
        <v>0</v>
      </c>
      <c r="J174" s="353">
        <f t="shared" si="50"/>
        <v>131.23079999999999</v>
      </c>
      <c r="K174" s="428">
        <f t="shared" si="51"/>
        <v>0</v>
      </c>
      <c r="L174" s="427">
        <f t="shared" si="52"/>
        <v>131.23079999999999</v>
      </c>
    </row>
    <row r="175" spans="1:12" ht="15.75" customHeight="1">
      <c r="A175" s="963"/>
      <c r="B175" s="411" t="s">
        <v>107</v>
      </c>
      <c r="C175" s="414">
        <v>21011</v>
      </c>
      <c r="D175" s="416" t="s">
        <v>277</v>
      </c>
      <c r="E175" s="414" t="s">
        <v>111</v>
      </c>
      <c r="F175" s="419">
        <v>1.3260000000000001</v>
      </c>
      <c r="G175" s="409">
        <f t="shared" si="46"/>
        <v>47.24</v>
      </c>
      <c r="H175" s="424">
        <v>47.24</v>
      </c>
      <c r="I175" s="423">
        <v>0</v>
      </c>
      <c r="J175" s="353">
        <f t="shared" ref="J175" si="53">F175*H175</f>
        <v>62.640240000000006</v>
      </c>
      <c r="K175" s="428">
        <f t="shared" ref="K175" si="54">I175*F175</f>
        <v>0</v>
      </c>
      <c r="L175" s="427">
        <f t="shared" ref="L175" si="55">K175+J175</f>
        <v>62.640240000000006</v>
      </c>
    </row>
    <row r="176" spans="1:12" ht="15.75" customHeight="1">
      <c r="A176" s="963"/>
      <c r="B176" s="411" t="s">
        <v>133</v>
      </c>
      <c r="C176" s="414">
        <v>88251</v>
      </c>
      <c r="D176" s="416" t="s">
        <v>275</v>
      </c>
      <c r="E176" s="414" t="s">
        <v>116</v>
      </c>
      <c r="F176" s="419">
        <v>1.6779999999999999</v>
      </c>
      <c r="G176" s="409">
        <f>H176+I176</f>
        <v>22.52</v>
      </c>
      <c r="H176" s="424">
        <v>5.52</v>
      </c>
      <c r="I176" s="423">
        <v>17</v>
      </c>
      <c r="J176" s="353">
        <f t="shared" si="50"/>
        <v>9.2625599999999988</v>
      </c>
      <c r="K176" s="428">
        <f t="shared" si="51"/>
        <v>28.526</v>
      </c>
      <c r="L176" s="427">
        <f t="shared" si="52"/>
        <v>37.788559999999997</v>
      </c>
    </row>
    <row r="177" spans="1:12" ht="15.75" customHeight="1">
      <c r="A177" s="963"/>
      <c r="B177" s="412" t="s">
        <v>133</v>
      </c>
      <c r="C177" s="413">
        <v>88315</v>
      </c>
      <c r="D177" s="417" t="s">
        <v>276</v>
      </c>
      <c r="E177" s="413" t="s">
        <v>116</v>
      </c>
      <c r="F177" s="418">
        <v>2.0489999999999999</v>
      </c>
      <c r="G177" s="407">
        <f t="shared" si="46"/>
        <v>25.61</v>
      </c>
      <c r="H177" s="426">
        <v>5.52</v>
      </c>
      <c r="I177" s="425">
        <v>20.09</v>
      </c>
      <c r="J177" s="353">
        <f t="shared" si="50"/>
        <v>11.310479999999998</v>
      </c>
      <c r="K177" s="422">
        <f t="shared" si="51"/>
        <v>41.164409999999997</v>
      </c>
      <c r="L177" s="429">
        <f t="shared" si="52"/>
        <v>52.474889999999995</v>
      </c>
    </row>
    <row r="178" spans="1:12" ht="15.75" customHeight="1" thickBot="1">
      <c r="A178" s="963"/>
      <c r="B178" s="964" t="s">
        <v>85</v>
      </c>
      <c r="C178" s="954"/>
      <c r="D178" s="954"/>
      <c r="E178" s="954"/>
      <c r="F178" s="954"/>
      <c r="G178" s="954"/>
      <c r="H178" s="954"/>
      <c r="I178" s="955"/>
      <c r="J178" s="52">
        <f>SUM(J171:J177)</f>
        <v>235.57549</v>
      </c>
      <c r="K178" s="52">
        <f>SUM(K171:K177)</f>
        <v>69.69041</v>
      </c>
      <c r="L178" s="51">
        <f>SUM(L171:L177)</f>
        <v>305.26589999999999</v>
      </c>
    </row>
    <row r="179" spans="1:12" ht="15.75" customHeight="1">
      <c r="A179" s="354"/>
      <c r="B179" s="354"/>
      <c r="C179" s="354"/>
      <c r="D179" s="355"/>
      <c r="E179" s="354"/>
      <c r="F179" s="354"/>
      <c r="G179" s="354"/>
      <c r="H179" s="354"/>
      <c r="I179" s="354"/>
      <c r="J179" s="354"/>
      <c r="K179" s="354"/>
      <c r="L179" s="354"/>
    </row>
    <row r="180" spans="1:12" ht="15.75" customHeight="1" thickBot="1"/>
    <row r="181" spans="1:12" ht="41.25" customHeight="1">
      <c r="A181" s="956" t="s">
        <v>262</v>
      </c>
      <c r="B181" s="543" t="s">
        <v>93</v>
      </c>
      <c r="C181" s="1003" t="s">
        <v>408</v>
      </c>
      <c r="D181" s="1004"/>
      <c r="E181" s="1004"/>
      <c r="F181" s="1004"/>
      <c r="G181" s="1004"/>
      <c r="H181" s="1004"/>
      <c r="I181" s="1004"/>
      <c r="J181" s="1004"/>
      <c r="K181" s="1004"/>
      <c r="L181" s="1005"/>
    </row>
    <row r="182" spans="1:12" ht="37.5" customHeight="1">
      <c r="A182" s="963"/>
      <c r="B182" s="305" t="s">
        <v>94</v>
      </c>
      <c r="C182" s="1006" t="s">
        <v>409</v>
      </c>
      <c r="D182" s="948"/>
      <c r="E182" s="948"/>
      <c r="F182" s="948"/>
      <c r="G182" s="948"/>
      <c r="H182" s="948"/>
      <c r="I182" s="948"/>
      <c r="J182" s="948"/>
      <c r="K182" s="948"/>
      <c r="L182" s="949"/>
    </row>
    <row r="183" spans="1:12" ht="17.25" customHeight="1">
      <c r="A183" s="963"/>
      <c r="B183" s="306" t="s">
        <v>96</v>
      </c>
      <c r="C183" s="997" t="s">
        <v>16</v>
      </c>
      <c r="D183" s="972"/>
      <c r="E183" s="972"/>
      <c r="F183" s="972"/>
      <c r="G183" s="972"/>
      <c r="H183" s="972"/>
      <c r="I183" s="972"/>
      <c r="J183" s="972"/>
      <c r="K183" s="972"/>
      <c r="L183" s="973"/>
    </row>
    <row r="184" spans="1:12" ht="43.5" customHeight="1">
      <c r="A184" s="963"/>
      <c r="B184" s="305" t="s">
        <v>98</v>
      </c>
      <c r="C184" s="307" t="s">
        <v>12</v>
      </c>
      <c r="D184" s="308" t="s">
        <v>99</v>
      </c>
      <c r="E184" s="307" t="s">
        <v>96</v>
      </c>
      <c r="F184" s="307" t="s">
        <v>100</v>
      </c>
      <c r="G184" s="309" t="s">
        <v>145</v>
      </c>
      <c r="H184" s="309" t="s">
        <v>102</v>
      </c>
      <c r="I184" s="309" t="s">
        <v>103</v>
      </c>
      <c r="J184" s="309" t="s">
        <v>104</v>
      </c>
      <c r="K184" s="309" t="s">
        <v>105</v>
      </c>
      <c r="L184" s="310" t="s">
        <v>106</v>
      </c>
    </row>
    <row r="185" spans="1:12" ht="30" customHeight="1">
      <c r="A185" s="963"/>
      <c r="B185" s="361" t="s">
        <v>133</v>
      </c>
      <c r="C185" s="311">
        <v>90447</v>
      </c>
      <c r="D185" s="360" t="s">
        <v>410</v>
      </c>
      <c r="E185" s="361" t="s">
        <v>381</v>
      </c>
      <c r="F185" s="312">
        <v>1.2430000000000001</v>
      </c>
      <c r="G185" s="313">
        <f t="shared" ref="G185:G188" si="56">H185+I185</f>
        <v>6.75</v>
      </c>
      <c r="H185" s="313">
        <v>1.32</v>
      </c>
      <c r="I185" s="313">
        <v>5.43</v>
      </c>
      <c r="J185" s="313">
        <f t="shared" ref="J185:J194" si="57">F185*H185</f>
        <v>1.6407600000000002</v>
      </c>
      <c r="K185" s="505">
        <f t="shared" ref="K185:K194" si="58">I185*F185</f>
        <v>6.7494900000000007</v>
      </c>
      <c r="L185" s="382">
        <f t="shared" ref="L185:L194" si="59">K185+J185</f>
        <v>8.3902500000000018</v>
      </c>
    </row>
    <row r="186" spans="1:12" ht="15.75" customHeight="1">
      <c r="A186" s="963"/>
      <c r="B186" s="361" t="s">
        <v>133</v>
      </c>
      <c r="C186" s="311">
        <v>90456</v>
      </c>
      <c r="D186" s="360" t="s">
        <v>411</v>
      </c>
      <c r="E186" s="311" t="s">
        <v>108</v>
      </c>
      <c r="F186" s="312">
        <v>1</v>
      </c>
      <c r="G186" s="313">
        <f t="shared" si="56"/>
        <v>4.49</v>
      </c>
      <c r="H186" s="313">
        <v>0.76</v>
      </c>
      <c r="I186" s="313">
        <v>3.73</v>
      </c>
      <c r="J186" s="313">
        <f t="shared" si="57"/>
        <v>0.76</v>
      </c>
      <c r="K186" s="505">
        <f t="shared" si="58"/>
        <v>3.73</v>
      </c>
      <c r="L186" s="382">
        <f t="shared" si="59"/>
        <v>4.49</v>
      </c>
    </row>
    <row r="187" spans="1:12" ht="31.5" customHeight="1">
      <c r="A187" s="963"/>
      <c r="B187" s="361" t="s">
        <v>133</v>
      </c>
      <c r="C187" s="514">
        <v>90466</v>
      </c>
      <c r="D187" s="515" t="s">
        <v>412</v>
      </c>
      <c r="E187" s="516" t="s">
        <v>381</v>
      </c>
      <c r="F187" s="517">
        <v>1.2430000000000001</v>
      </c>
      <c r="G187" s="395">
        <f t="shared" si="56"/>
        <v>14.03</v>
      </c>
      <c r="H187" s="391">
        <v>3.69</v>
      </c>
      <c r="I187" s="518">
        <v>10.34</v>
      </c>
      <c r="J187" s="395">
        <f t="shared" si="57"/>
        <v>4.5866700000000007</v>
      </c>
      <c r="K187" s="505">
        <f t="shared" si="58"/>
        <v>12.852620000000002</v>
      </c>
      <c r="L187" s="382">
        <f t="shared" si="59"/>
        <v>17.439290000000003</v>
      </c>
    </row>
    <row r="188" spans="1:12" ht="33" customHeight="1">
      <c r="A188" s="963"/>
      <c r="B188" s="403" t="s">
        <v>133</v>
      </c>
      <c r="C188" s="519">
        <v>91845</v>
      </c>
      <c r="D188" s="520" t="s">
        <v>413</v>
      </c>
      <c r="E188" s="521" t="s">
        <v>381</v>
      </c>
      <c r="F188" s="522">
        <v>2.2170000000000001</v>
      </c>
      <c r="G188" s="523">
        <f t="shared" si="56"/>
        <v>9.8699999999999992</v>
      </c>
      <c r="H188" s="524">
        <v>6.34</v>
      </c>
      <c r="I188" s="525">
        <v>3.53</v>
      </c>
      <c r="J188" s="523">
        <f t="shared" si="57"/>
        <v>14.05578</v>
      </c>
      <c r="K188" s="505">
        <f t="shared" si="58"/>
        <v>7.8260100000000001</v>
      </c>
      <c r="L188" s="382">
        <f t="shared" si="59"/>
        <v>21.881790000000002</v>
      </c>
    </row>
    <row r="189" spans="1:12" ht="33" customHeight="1">
      <c r="A189" s="963"/>
      <c r="B189" s="405" t="s">
        <v>133</v>
      </c>
      <c r="C189" s="526">
        <v>91855</v>
      </c>
      <c r="D189" s="527" t="s">
        <v>414</v>
      </c>
      <c r="E189" s="528" t="s">
        <v>381</v>
      </c>
      <c r="F189" s="529">
        <v>1.2430000000000001</v>
      </c>
      <c r="G189" s="530">
        <f>H189+I189</f>
        <v>12.379999999999999</v>
      </c>
      <c r="H189" s="392">
        <v>6.54</v>
      </c>
      <c r="I189" s="531">
        <v>5.84</v>
      </c>
      <c r="J189" s="513">
        <f t="shared" si="57"/>
        <v>8.1292200000000001</v>
      </c>
      <c r="K189" s="505">
        <f t="shared" si="58"/>
        <v>7.2591200000000002</v>
      </c>
      <c r="L189" s="382">
        <f t="shared" si="59"/>
        <v>15.388339999999999</v>
      </c>
    </row>
    <row r="190" spans="1:12" ht="34.5" customHeight="1">
      <c r="A190" s="963"/>
      <c r="B190" s="532" t="s">
        <v>133</v>
      </c>
      <c r="C190" s="519">
        <v>91924</v>
      </c>
      <c r="D190" s="520" t="s">
        <v>415</v>
      </c>
      <c r="E190" s="521" t="s">
        <v>381</v>
      </c>
      <c r="F190" s="522">
        <v>10.711</v>
      </c>
      <c r="G190" s="523">
        <f t="shared" ref="G190:G194" si="60">H190+I190</f>
        <v>2.73</v>
      </c>
      <c r="H190" s="524">
        <v>1.77</v>
      </c>
      <c r="I190" s="525">
        <v>0.96</v>
      </c>
      <c r="J190" s="395">
        <f t="shared" si="57"/>
        <v>18.958470000000002</v>
      </c>
      <c r="K190" s="533">
        <f t="shared" si="58"/>
        <v>10.28256</v>
      </c>
      <c r="L190" s="534">
        <f t="shared" si="59"/>
        <v>29.241030000000002</v>
      </c>
    </row>
    <row r="191" spans="1:12" ht="30" customHeight="1">
      <c r="A191" s="963"/>
      <c r="B191" s="405" t="s">
        <v>133</v>
      </c>
      <c r="C191" s="526">
        <v>91926</v>
      </c>
      <c r="D191" s="535" t="s">
        <v>416</v>
      </c>
      <c r="E191" s="528" t="s">
        <v>381</v>
      </c>
      <c r="F191" s="536">
        <v>1.4790000000000001</v>
      </c>
      <c r="G191" s="541">
        <f t="shared" si="60"/>
        <v>3.94</v>
      </c>
      <c r="H191" s="537">
        <v>2.73</v>
      </c>
      <c r="I191" s="399">
        <v>1.21</v>
      </c>
      <c r="J191" s="538">
        <f t="shared" si="57"/>
        <v>4.0376700000000003</v>
      </c>
      <c r="K191" s="537">
        <f t="shared" si="58"/>
        <v>1.78959</v>
      </c>
      <c r="L191" s="539">
        <f t="shared" si="59"/>
        <v>5.8272600000000008</v>
      </c>
    </row>
    <row r="192" spans="1:12" ht="27.75" customHeight="1">
      <c r="A192" s="963"/>
      <c r="B192" s="405" t="s">
        <v>133</v>
      </c>
      <c r="C192" s="526">
        <v>91937</v>
      </c>
      <c r="D192" s="535" t="s">
        <v>417</v>
      </c>
      <c r="E192" s="528" t="s">
        <v>381</v>
      </c>
      <c r="F192" s="536">
        <v>1</v>
      </c>
      <c r="G192" s="541">
        <f t="shared" si="60"/>
        <v>12.399999999999999</v>
      </c>
      <c r="H192" s="537">
        <v>6.6</v>
      </c>
      <c r="I192" s="399">
        <v>5.8</v>
      </c>
      <c r="J192" s="538">
        <f t="shared" si="57"/>
        <v>6.6</v>
      </c>
      <c r="K192" s="537">
        <f t="shared" si="58"/>
        <v>5.8</v>
      </c>
      <c r="L192" s="539">
        <f t="shared" si="59"/>
        <v>12.399999999999999</v>
      </c>
    </row>
    <row r="193" spans="1:12" ht="30.75" customHeight="1">
      <c r="A193" s="963"/>
      <c r="B193" s="405" t="s">
        <v>133</v>
      </c>
      <c r="C193" s="526">
        <v>91940</v>
      </c>
      <c r="D193" s="535" t="s">
        <v>418</v>
      </c>
      <c r="E193" s="528" t="s">
        <v>381</v>
      </c>
      <c r="F193" s="536">
        <v>1</v>
      </c>
      <c r="G193" s="541">
        <f t="shared" si="60"/>
        <v>16.14</v>
      </c>
      <c r="H193" s="537">
        <v>5.95</v>
      </c>
      <c r="I193" s="399">
        <v>10.19</v>
      </c>
      <c r="J193" s="538">
        <f t="shared" si="57"/>
        <v>5.95</v>
      </c>
      <c r="K193" s="537">
        <f t="shared" si="58"/>
        <v>10.19</v>
      </c>
      <c r="L193" s="539">
        <f t="shared" si="59"/>
        <v>16.14</v>
      </c>
    </row>
    <row r="194" spans="1:12" ht="30.75" customHeight="1">
      <c r="A194" s="963"/>
      <c r="B194" s="540" t="s">
        <v>133</v>
      </c>
      <c r="C194" s="511">
        <v>91959</v>
      </c>
      <c r="D194" s="365" t="s">
        <v>419</v>
      </c>
      <c r="E194" s="512" t="s">
        <v>381</v>
      </c>
      <c r="F194" s="509">
        <v>1</v>
      </c>
      <c r="G194" s="542">
        <f t="shared" si="60"/>
        <v>44.29</v>
      </c>
      <c r="H194" s="510">
        <v>25.73</v>
      </c>
      <c r="I194" s="393">
        <v>18.559999999999999</v>
      </c>
      <c r="J194" s="508">
        <f t="shared" si="57"/>
        <v>25.73</v>
      </c>
      <c r="K194" s="506">
        <f t="shared" si="58"/>
        <v>18.559999999999999</v>
      </c>
      <c r="L194" s="364">
        <f t="shared" si="59"/>
        <v>44.29</v>
      </c>
    </row>
    <row r="195" spans="1:12" ht="15.75" customHeight="1" thickBot="1">
      <c r="A195" s="963"/>
      <c r="B195" s="1002" t="s">
        <v>85</v>
      </c>
      <c r="C195" s="965"/>
      <c r="D195" s="965"/>
      <c r="E195" s="965"/>
      <c r="F195" s="965"/>
      <c r="G195" s="965"/>
      <c r="H195" s="965"/>
      <c r="I195" s="966"/>
      <c r="J195" s="507">
        <f>SUM(J185:J194)</f>
        <v>90.448570000000004</v>
      </c>
      <c r="K195" s="507">
        <f>SUM(K185:K194)</f>
        <v>85.039389999999997</v>
      </c>
      <c r="L195" s="315">
        <f>SUM(L185:L194)</f>
        <v>175.48796000000002</v>
      </c>
    </row>
    <row r="196" spans="1:12" ht="15.75" customHeight="1"/>
    <row r="197" spans="1:12" ht="15.75" customHeight="1" thickBot="1"/>
    <row r="198" spans="1:12" ht="15.75" customHeight="1">
      <c r="A198" s="956" t="s">
        <v>476</v>
      </c>
      <c r="B198" s="304" t="s">
        <v>93</v>
      </c>
      <c r="C198" s="998"/>
      <c r="D198" s="980"/>
      <c r="E198" s="980"/>
      <c r="F198" s="980"/>
      <c r="G198" s="980"/>
      <c r="H198" s="980"/>
      <c r="I198" s="980"/>
      <c r="J198" s="980"/>
      <c r="K198" s="980"/>
      <c r="L198" s="981"/>
    </row>
    <row r="199" spans="1:12" ht="15.75" customHeight="1">
      <c r="A199" s="963"/>
      <c r="B199" s="305" t="s">
        <v>94</v>
      </c>
      <c r="C199" s="999" t="s">
        <v>445</v>
      </c>
      <c r="D199" s="977"/>
      <c r="E199" s="977"/>
      <c r="F199" s="977"/>
      <c r="G199" s="977"/>
      <c r="H199" s="977"/>
      <c r="I199" s="977"/>
      <c r="J199" s="977"/>
      <c r="K199" s="977"/>
      <c r="L199" s="978"/>
    </row>
    <row r="200" spans="1:12" ht="15.75" customHeight="1">
      <c r="A200" s="963"/>
      <c r="B200" s="306" t="s">
        <v>96</v>
      </c>
      <c r="C200" s="1000" t="s">
        <v>108</v>
      </c>
      <c r="D200" s="972"/>
      <c r="E200" s="972"/>
      <c r="F200" s="972"/>
      <c r="G200" s="972"/>
      <c r="H200" s="972"/>
      <c r="I200" s="972"/>
      <c r="J200" s="972"/>
      <c r="K200" s="972"/>
      <c r="L200" s="973"/>
    </row>
    <row r="201" spans="1:12" ht="38.25" customHeight="1">
      <c r="A201" s="963"/>
      <c r="B201" s="305" t="s">
        <v>98</v>
      </c>
      <c r="C201" s="307" t="s">
        <v>12</v>
      </c>
      <c r="D201" s="308" t="s">
        <v>99</v>
      </c>
      <c r="E201" s="307" t="s">
        <v>96</v>
      </c>
      <c r="F201" s="307" t="s">
        <v>100</v>
      </c>
      <c r="G201" s="309" t="s">
        <v>145</v>
      </c>
      <c r="H201" s="309" t="s">
        <v>102</v>
      </c>
      <c r="I201" s="309" t="s">
        <v>103</v>
      </c>
      <c r="J201" s="309" t="s">
        <v>104</v>
      </c>
      <c r="K201" s="309" t="s">
        <v>105</v>
      </c>
      <c r="L201" s="310" t="s">
        <v>106</v>
      </c>
    </row>
    <row r="202" spans="1:12" ht="27" customHeight="1">
      <c r="A202" s="963"/>
      <c r="B202" s="311" t="s">
        <v>107</v>
      </c>
      <c r="C202" s="311">
        <v>4417</v>
      </c>
      <c r="D202" s="381" t="s">
        <v>446</v>
      </c>
      <c r="E202" s="361" t="s">
        <v>111</v>
      </c>
      <c r="F202" s="312">
        <v>1</v>
      </c>
      <c r="G202" s="313">
        <f>H202+I202</f>
        <v>4.32</v>
      </c>
      <c r="H202" s="313">
        <v>4.32</v>
      </c>
      <c r="I202" s="313">
        <v>0</v>
      </c>
      <c r="J202" s="313">
        <f t="shared" ref="J202:J208" si="61">F202*H202</f>
        <v>4.32</v>
      </c>
      <c r="K202" s="383">
        <f t="shared" ref="K202:K208" si="62">I202*F202</f>
        <v>0</v>
      </c>
      <c r="L202" s="382">
        <f t="shared" ref="L202:L208" si="63">K202+J202</f>
        <v>4.32</v>
      </c>
    </row>
    <row r="203" spans="1:12" ht="27.75" customHeight="1">
      <c r="A203" s="963"/>
      <c r="B203" s="311" t="s">
        <v>107</v>
      </c>
      <c r="C203" s="311">
        <v>4491</v>
      </c>
      <c r="D203" s="381" t="s">
        <v>447</v>
      </c>
      <c r="E203" s="361" t="s">
        <v>111</v>
      </c>
      <c r="F203" s="312">
        <v>1</v>
      </c>
      <c r="G203" s="313">
        <f t="shared" ref="G203:G208" si="64">H203+I203</f>
        <v>6.53</v>
      </c>
      <c r="H203" s="313">
        <v>6.53</v>
      </c>
      <c r="I203" s="395">
        <v>0</v>
      </c>
      <c r="J203" s="313">
        <f t="shared" si="61"/>
        <v>6.53</v>
      </c>
      <c r="K203" s="383">
        <f t="shared" si="62"/>
        <v>0</v>
      </c>
      <c r="L203" s="382">
        <f t="shared" si="63"/>
        <v>6.53</v>
      </c>
    </row>
    <row r="204" spans="1:12" ht="27" customHeight="1">
      <c r="A204" s="963"/>
      <c r="B204" s="403" t="s">
        <v>107</v>
      </c>
      <c r="C204" s="401">
        <v>4813</v>
      </c>
      <c r="D204" s="381" t="s">
        <v>448</v>
      </c>
      <c r="E204" s="384" t="s">
        <v>280</v>
      </c>
      <c r="F204" s="385">
        <v>1</v>
      </c>
      <c r="G204" s="313">
        <f t="shared" si="64"/>
        <v>275</v>
      </c>
      <c r="H204" s="391">
        <v>275</v>
      </c>
      <c r="I204" s="396">
        <v>0</v>
      </c>
      <c r="J204" s="313">
        <f t="shared" si="61"/>
        <v>275</v>
      </c>
      <c r="K204" s="383">
        <f t="shared" si="62"/>
        <v>0</v>
      </c>
      <c r="L204" s="382">
        <f t="shared" si="63"/>
        <v>275</v>
      </c>
    </row>
    <row r="205" spans="1:12" ht="21" customHeight="1">
      <c r="A205" s="963"/>
      <c r="B205" s="404" t="s">
        <v>107</v>
      </c>
      <c r="C205" s="402">
        <v>5075</v>
      </c>
      <c r="D205" s="381" t="s">
        <v>449</v>
      </c>
      <c r="E205" s="386" t="s">
        <v>147</v>
      </c>
      <c r="F205" s="390">
        <v>0.11</v>
      </c>
      <c r="G205" s="313">
        <f t="shared" si="64"/>
        <v>17.39</v>
      </c>
      <c r="H205" s="392">
        <v>17.39</v>
      </c>
      <c r="I205" s="394">
        <v>0</v>
      </c>
      <c r="J205" s="313">
        <f t="shared" si="61"/>
        <v>1.9129</v>
      </c>
      <c r="K205" s="383">
        <f t="shared" si="62"/>
        <v>0</v>
      </c>
      <c r="L205" s="382">
        <f t="shared" si="63"/>
        <v>1.9129</v>
      </c>
    </row>
    <row r="206" spans="1:12" ht="15.75" customHeight="1">
      <c r="A206" s="963"/>
      <c r="B206" s="405" t="s">
        <v>133</v>
      </c>
      <c r="C206" s="402">
        <v>88262</v>
      </c>
      <c r="D206" s="381" t="s">
        <v>279</v>
      </c>
      <c r="E206" s="386" t="s">
        <v>116</v>
      </c>
      <c r="F206" s="389">
        <v>0.5</v>
      </c>
      <c r="G206" s="313">
        <f t="shared" si="64"/>
        <v>25.43</v>
      </c>
      <c r="H206" s="392">
        <v>5.34</v>
      </c>
      <c r="I206" s="394">
        <v>20.09</v>
      </c>
      <c r="J206" s="313">
        <f t="shared" si="61"/>
        <v>2.67</v>
      </c>
      <c r="K206" s="383">
        <f t="shared" si="62"/>
        <v>10.045</v>
      </c>
      <c r="L206" s="382">
        <f t="shared" si="63"/>
        <v>12.715</v>
      </c>
    </row>
    <row r="207" spans="1:12" ht="15.75" customHeight="1">
      <c r="A207" s="963"/>
      <c r="B207" s="405" t="s">
        <v>133</v>
      </c>
      <c r="C207" s="402">
        <v>88316</v>
      </c>
      <c r="D207" s="381" t="s">
        <v>148</v>
      </c>
      <c r="E207" s="386" t="s">
        <v>116</v>
      </c>
      <c r="F207" s="389">
        <v>1</v>
      </c>
      <c r="G207" s="313">
        <f t="shared" si="64"/>
        <v>21.299999999999997</v>
      </c>
      <c r="H207" s="392">
        <v>5.35</v>
      </c>
      <c r="I207" s="394">
        <v>15.95</v>
      </c>
      <c r="J207" s="313">
        <f t="shared" si="61"/>
        <v>5.35</v>
      </c>
      <c r="K207" s="391">
        <f t="shared" si="62"/>
        <v>15.95</v>
      </c>
      <c r="L207" s="397">
        <f t="shared" si="63"/>
        <v>21.299999999999997</v>
      </c>
    </row>
    <row r="208" spans="1:12" ht="27.75" customHeight="1">
      <c r="A208" s="963"/>
      <c r="B208" s="404" t="s">
        <v>133</v>
      </c>
      <c r="C208" s="363">
        <v>94962</v>
      </c>
      <c r="D208" s="381" t="s">
        <v>450</v>
      </c>
      <c r="E208" s="387" t="s">
        <v>281</v>
      </c>
      <c r="F208" s="388">
        <v>0.01</v>
      </c>
      <c r="G208" s="313">
        <f t="shared" si="64"/>
        <v>377.84000000000003</v>
      </c>
      <c r="H208" s="393">
        <v>308.49</v>
      </c>
      <c r="I208" s="393">
        <v>69.349999999999994</v>
      </c>
      <c r="J208" s="398">
        <f t="shared" si="61"/>
        <v>3.0849000000000002</v>
      </c>
      <c r="K208" s="399">
        <f t="shared" si="62"/>
        <v>0.69350000000000001</v>
      </c>
      <c r="L208" s="400">
        <f t="shared" si="63"/>
        <v>3.7784000000000004</v>
      </c>
    </row>
    <row r="209" spans="1:12" ht="15.75" customHeight="1" thickBot="1">
      <c r="A209" s="963"/>
      <c r="B209" s="1001" t="s">
        <v>85</v>
      </c>
      <c r="C209" s="965"/>
      <c r="D209" s="965"/>
      <c r="E209" s="965"/>
      <c r="F209" s="965"/>
      <c r="G209" s="965"/>
      <c r="H209" s="965"/>
      <c r="I209" s="966"/>
      <c r="J209" s="314">
        <f>SUM(J202:J208)</f>
        <v>298.86780000000005</v>
      </c>
      <c r="K209" s="314">
        <f>SUM(K202:K208)</f>
        <v>26.688499999999998</v>
      </c>
      <c r="L209" s="315">
        <f>SUM(L202:L208)</f>
        <v>325.55629999999996</v>
      </c>
    </row>
    <row r="210" spans="1:12" ht="15.75" customHeight="1"/>
    <row r="211" spans="1:12" ht="15.75" customHeight="1" thickBot="1"/>
    <row r="212" spans="1:12" ht="15.75" customHeight="1">
      <c r="A212" s="956" t="s">
        <v>524</v>
      </c>
      <c r="B212" s="430" t="s">
        <v>93</v>
      </c>
      <c r="C212" s="944"/>
      <c r="D212" s="945"/>
      <c r="E212" s="945"/>
      <c r="F212" s="945"/>
      <c r="G212" s="945"/>
      <c r="H212" s="945"/>
      <c r="I212" s="945"/>
      <c r="J212" s="945"/>
      <c r="K212" s="945"/>
      <c r="L212" s="946"/>
    </row>
    <row r="213" spans="1:12" ht="33.75" customHeight="1">
      <c r="A213" s="957"/>
      <c r="B213" s="45" t="s">
        <v>94</v>
      </c>
      <c r="C213" s="947" t="s">
        <v>525</v>
      </c>
      <c r="D213" s="948"/>
      <c r="E213" s="948"/>
      <c r="F213" s="948"/>
      <c r="G213" s="948"/>
      <c r="H213" s="948"/>
      <c r="I213" s="948"/>
      <c r="J213" s="948"/>
      <c r="K213" s="948"/>
      <c r="L213" s="949"/>
    </row>
    <row r="214" spans="1:12" ht="15.75" customHeight="1">
      <c r="A214" s="957"/>
      <c r="B214" s="46" t="s">
        <v>96</v>
      </c>
      <c r="C214" s="950" t="s">
        <v>97</v>
      </c>
      <c r="D214" s="951"/>
      <c r="E214" s="951"/>
      <c r="F214" s="951"/>
      <c r="G214" s="951"/>
      <c r="H214" s="951"/>
      <c r="I214" s="951"/>
      <c r="J214" s="951"/>
      <c r="K214" s="951"/>
      <c r="L214" s="952"/>
    </row>
    <row r="215" spans="1:12" ht="30" customHeight="1">
      <c r="A215" s="957"/>
      <c r="B215" s="45" t="s">
        <v>98</v>
      </c>
      <c r="C215" s="47" t="s">
        <v>12</v>
      </c>
      <c r="D215" s="615" t="s">
        <v>99</v>
      </c>
      <c r="E215" s="47" t="s">
        <v>96</v>
      </c>
      <c r="F215" s="624" t="s">
        <v>17</v>
      </c>
      <c r="G215" s="309" t="s">
        <v>145</v>
      </c>
      <c r="H215" s="48" t="s">
        <v>102</v>
      </c>
      <c r="I215" s="48" t="s">
        <v>103</v>
      </c>
      <c r="J215" s="48" t="s">
        <v>104</v>
      </c>
      <c r="K215" s="48" t="s">
        <v>105</v>
      </c>
      <c r="L215" s="49" t="s">
        <v>106</v>
      </c>
    </row>
    <row r="216" spans="1:12" ht="30" customHeight="1">
      <c r="A216" s="957"/>
      <c r="B216" s="616" t="s">
        <v>133</v>
      </c>
      <c r="C216" s="250">
        <v>94228</v>
      </c>
      <c r="D216" s="622" t="s">
        <v>282</v>
      </c>
      <c r="E216" s="623" t="s">
        <v>111</v>
      </c>
      <c r="F216" s="621">
        <v>3.6</v>
      </c>
      <c r="G216" s="313">
        <f t="shared" ref="G216:G218" si="65">H216+I216</f>
        <v>103.59</v>
      </c>
      <c r="H216" s="620">
        <v>91.5</v>
      </c>
      <c r="I216" s="625">
        <v>12.09</v>
      </c>
      <c r="J216" s="463">
        <f>H216*F216</f>
        <v>329.40000000000003</v>
      </c>
      <c r="K216" s="461">
        <f>I216*F216</f>
        <v>43.524000000000001</v>
      </c>
      <c r="L216" s="467">
        <f>K216+J216</f>
        <v>372.92400000000004</v>
      </c>
    </row>
    <row r="217" spans="1:12" ht="53.25" customHeight="1">
      <c r="A217" s="957"/>
      <c r="B217" s="488" t="s">
        <v>133</v>
      </c>
      <c r="C217" s="619">
        <v>94207</v>
      </c>
      <c r="D217" s="618" t="s">
        <v>245</v>
      </c>
      <c r="E217" s="384" t="s">
        <v>280</v>
      </c>
      <c r="F217" s="621">
        <v>4.32</v>
      </c>
      <c r="G217" s="313">
        <f t="shared" si="65"/>
        <v>48.23</v>
      </c>
      <c r="H217" s="620">
        <v>43.3</v>
      </c>
      <c r="I217" s="617">
        <v>4.93</v>
      </c>
      <c r="J217" s="463">
        <f>H217*F217</f>
        <v>187.05600000000001</v>
      </c>
      <c r="K217" s="461">
        <f>I217*F217</f>
        <v>21.297599999999999</v>
      </c>
      <c r="L217" s="467">
        <f>K217+J217</f>
        <v>208.3536</v>
      </c>
    </row>
    <row r="218" spans="1:12" ht="53.25" customHeight="1">
      <c r="A218" s="957"/>
      <c r="B218" s="626" t="s">
        <v>133</v>
      </c>
      <c r="C218" s="627">
        <v>91789</v>
      </c>
      <c r="D218" s="628" t="s">
        <v>426</v>
      </c>
      <c r="E218" s="384" t="s">
        <v>111</v>
      </c>
      <c r="F218" s="621">
        <v>5</v>
      </c>
      <c r="G218" s="313">
        <f t="shared" si="65"/>
        <v>57.46</v>
      </c>
      <c r="H218" s="629">
        <v>49.34</v>
      </c>
      <c r="I218" s="630">
        <v>8.1199999999999992</v>
      </c>
      <c r="J218" s="463">
        <f>H218*F218</f>
        <v>246.70000000000002</v>
      </c>
      <c r="K218" s="461">
        <f>I218*F218</f>
        <v>40.599999999999994</v>
      </c>
      <c r="L218" s="467">
        <f>K218+J218</f>
        <v>287.3</v>
      </c>
    </row>
    <row r="219" spans="1:12" ht="15.75" customHeight="1">
      <c r="A219" s="957"/>
      <c r="B219" s="493" t="s">
        <v>523</v>
      </c>
      <c r="C219" s="494"/>
      <c r="D219" s="497" t="s">
        <v>521</v>
      </c>
      <c r="E219" s="384" t="s">
        <v>280</v>
      </c>
      <c r="F219" s="498">
        <v>1</v>
      </c>
      <c r="G219" s="313">
        <v>4991.76</v>
      </c>
      <c r="H219" s="499">
        <v>4991.76</v>
      </c>
      <c r="I219" s="499">
        <v>0</v>
      </c>
      <c r="J219" s="463">
        <f>H219*F219</f>
        <v>4991.76</v>
      </c>
      <c r="K219" s="461">
        <f>I219*F219</f>
        <v>0</v>
      </c>
      <c r="L219" s="467">
        <f>K219+J219</f>
        <v>4991.76</v>
      </c>
    </row>
    <row r="220" spans="1:12" ht="45.75" customHeight="1">
      <c r="A220" s="957"/>
      <c r="B220" s="610" t="s">
        <v>523</v>
      </c>
      <c r="C220" s="611"/>
      <c r="D220" s="612" t="s">
        <v>522</v>
      </c>
      <c r="E220" s="384" t="s">
        <v>280</v>
      </c>
      <c r="F220" s="613">
        <v>1</v>
      </c>
      <c r="G220" s="313">
        <v>8371.32</v>
      </c>
      <c r="H220" s="614">
        <v>8371.32</v>
      </c>
      <c r="I220" s="614">
        <v>0</v>
      </c>
      <c r="J220" s="463">
        <f>H220*F220</f>
        <v>8371.32</v>
      </c>
      <c r="K220" s="461">
        <f>I220*F220</f>
        <v>0</v>
      </c>
      <c r="L220" s="467">
        <f>K220+J220</f>
        <v>8371.32</v>
      </c>
    </row>
    <row r="221" spans="1:12" ht="15.75" customHeight="1" thickBot="1">
      <c r="A221" s="958"/>
      <c r="B221" s="953" t="s">
        <v>85</v>
      </c>
      <c r="C221" s="954"/>
      <c r="D221" s="954"/>
      <c r="E221" s="954"/>
      <c r="F221" s="954"/>
      <c r="G221" s="954"/>
      <c r="H221" s="954"/>
      <c r="I221" s="955"/>
      <c r="J221" s="500">
        <f>SUM(J217:J220)</f>
        <v>13796.835999999999</v>
      </c>
      <c r="K221" s="501">
        <f>SUM(K217:K220)</f>
        <v>61.897599999999997</v>
      </c>
      <c r="L221" s="51">
        <f>SUM(J221:K221)</f>
        <v>13858.7336</v>
      </c>
    </row>
    <row r="222" spans="1:12" ht="15.75" customHeight="1"/>
    <row r="223" spans="1:12" ht="15.75" customHeight="1"/>
    <row r="224" spans="1:12" ht="15.75" customHeight="1"/>
    <row r="225" spans="4:4" ht="15.75" customHeight="1"/>
    <row r="226" spans="4:4" ht="15.75" customHeight="1"/>
    <row r="227" spans="4:4" ht="15.75" customHeight="1"/>
    <row r="228" spans="4:4" ht="15.75" customHeight="1"/>
    <row r="229" spans="4:4" ht="18" customHeight="1">
      <c r="D229" s="609"/>
    </row>
    <row r="230" spans="4:4" ht="15.75" customHeight="1"/>
    <row r="231" spans="4:4" ht="15.75" customHeight="1"/>
    <row r="232" spans="4:4" ht="15.75" customHeight="1"/>
    <row r="233" spans="4:4" ht="15.75" customHeight="1"/>
    <row r="234" spans="4:4" ht="15.75" customHeight="1"/>
    <row r="235" spans="4:4" ht="15.75" customHeight="1"/>
    <row r="236" spans="4:4" ht="15.75" customHeight="1"/>
    <row r="237" spans="4:4" ht="15.75" customHeight="1"/>
    <row r="238" spans="4:4" ht="15.75" customHeight="1"/>
    <row r="239" spans="4:4" ht="15.75" customHeight="1"/>
    <row r="240" spans="4: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</sheetData>
  <mergeCells count="85">
    <mergeCell ref="C183:L183"/>
    <mergeCell ref="A198:A209"/>
    <mergeCell ref="C198:L198"/>
    <mergeCell ref="C199:L199"/>
    <mergeCell ref="C200:L200"/>
    <mergeCell ref="B209:I209"/>
    <mergeCell ref="B195:I195"/>
    <mergeCell ref="A181:A195"/>
    <mergeCell ref="C181:L181"/>
    <mergeCell ref="C182:L182"/>
    <mergeCell ref="C69:L69"/>
    <mergeCell ref="A128:A136"/>
    <mergeCell ref="C138:L138"/>
    <mergeCell ref="A107:A125"/>
    <mergeCell ref="B125:I125"/>
    <mergeCell ref="C109:L109"/>
    <mergeCell ref="C167:L167"/>
    <mergeCell ref="C168:L168"/>
    <mergeCell ref="C169:L169"/>
    <mergeCell ref="B178:I178"/>
    <mergeCell ref="C70:L70"/>
    <mergeCell ref="C71:L71"/>
    <mergeCell ref="B35:I35"/>
    <mergeCell ref="B105:I105"/>
    <mergeCell ref="A29:A35"/>
    <mergeCell ref="C29:L29"/>
    <mergeCell ref="C31:L31"/>
    <mergeCell ref="C30:L30"/>
    <mergeCell ref="C45:L45"/>
    <mergeCell ref="B51:I51"/>
    <mergeCell ref="A37:A43"/>
    <mergeCell ref="C37:L37"/>
    <mergeCell ref="C38:L38"/>
    <mergeCell ref="C39:L39"/>
    <mergeCell ref="B82:I82"/>
    <mergeCell ref="B43:I43"/>
    <mergeCell ref="A61:A67"/>
    <mergeCell ref="C61:L61"/>
    <mergeCell ref="A21:A27"/>
    <mergeCell ref="C21:L21"/>
    <mergeCell ref="C22:L22"/>
    <mergeCell ref="C23:L23"/>
    <mergeCell ref="B27:I27"/>
    <mergeCell ref="C5:L5"/>
    <mergeCell ref="B19:I19"/>
    <mergeCell ref="C14:L14"/>
    <mergeCell ref="C13:L13"/>
    <mergeCell ref="A5:A11"/>
    <mergeCell ref="A13:A19"/>
    <mergeCell ref="C15:L15"/>
    <mergeCell ref="B11:I11"/>
    <mergeCell ref="C7:L7"/>
    <mergeCell ref="C6:L6"/>
    <mergeCell ref="C46:L46"/>
    <mergeCell ref="A45:A51"/>
    <mergeCell ref="A138:A165"/>
    <mergeCell ref="B165:I165"/>
    <mergeCell ref="C140:L140"/>
    <mergeCell ref="B136:I136"/>
    <mergeCell ref="C128:L128"/>
    <mergeCell ref="C129:L129"/>
    <mergeCell ref="C130:L130"/>
    <mergeCell ref="C47:L47"/>
    <mergeCell ref="A69:A82"/>
    <mergeCell ref="A84:A105"/>
    <mergeCell ref="C84:L84"/>
    <mergeCell ref="C85:L85"/>
    <mergeCell ref="C86:L86"/>
    <mergeCell ref="A53:A59"/>
    <mergeCell ref="C53:L53"/>
    <mergeCell ref="C54:L54"/>
    <mergeCell ref="C55:L55"/>
    <mergeCell ref="B59:I59"/>
    <mergeCell ref="A212:A221"/>
    <mergeCell ref="C212:L212"/>
    <mergeCell ref="C213:L213"/>
    <mergeCell ref="C214:L214"/>
    <mergeCell ref="B221:I221"/>
    <mergeCell ref="C62:L62"/>
    <mergeCell ref="C63:L63"/>
    <mergeCell ref="B67:I67"/>
    <mergeCell ref="C107:L107"/>
    <mergeCell ref="C108:L108"/>
    <mergeCell ref="C139:L139"/>
    <mergeCell ref="A167:A178"/>
  </mergeCells>
  <conditionalFormatting sqref="B26 D26:G26 B27:G27">
    <cfRule type="expression" dxfId="47" priority="11" stopIfTrue="1">
      <formula>AND($A26&lt;&gt;"COMPOSICAO",$A26&lt;&gt;"INSUMO",$A26&lt;&gt;"")</formula>
    </cfRule>
    <cfRule type="expression" dxfId="46" priority="12" stopIfTrue="1">
      <formula>AND(OR($A26="COMPOSICAO",$A26="INSUMO",$A26&lt;&gt;""),$A26&lt;&gt;"")</formula>
    </cfRule>
  </conditionalFormatting>
  <conditionalFormatting sqref="B58 D58:G58 B59:G59">
    <cfRule type="expression" dxfId="45" priority="36" stopIfTrue="1">
      <formula>AND(OR($A58="COMPOSICAO",$A58="INSUMO",$A58&lt;&gt;""),$A58&lt;&gt;"")</formula>
    </cfRule>
    <cfRule type="expression" dxfId="44" priority="35" stopIfTrue="1">
      <formula>AND($A58&lt;&gt;"COMPOSICAO",$A58&lt;&gt;"INSUMO",$A58&lt;&gt;"")</formula>
    </cfRule>
  </conditionalFormatting>
  <conditionalFormatting sqref="B66 D66:G66 B67:G67">
    <cfRule type="expression" dxfId="43" priority="24" stopIfTrue="1">
      <formula>AND(OR($A66="COMPOSICAO",$A66="INSUMO",$A66&lt;&gt;""),$A66&lt;&gt;"")</formula>
    </cfRule>
    <cfRule type="expression" dxfId="42" priority="23" stopIfTrue="1">
      <formula>AND($A66&lt;&gt;"COMPOSICAO",$A66&lt;&gt;"INSUMO",$A66&lt;&gt;"")</formula>
    </cfRule>
  </conditionalFormatting>
  <conditionalFormatting sqref="B187">
    <cfRule type="expression" dxfId="41" priority="96" stopIfTrue="1">
      <formula>AND(OR($A187="COMPOSICAO",$A187="INSUMO",$A187&lt;&gt;""),$A187&lt;&gt;"")</formula>
    </cfRule>
    <cfRule type="expression" dxfId="40" priority="95" stopIfTrue="1">
      <formula>AND($A187&lt;&gt;"COMPOSICAO",$A187&lt;&gt;"INSUMO",$A187&lt;&gt;"")</formula>
    </cfRule>
  </conditionalFormatting>
  <conditionalFormatting sqref="B202:C203 E202:F203">
    <cfRule type="expression" dxfId="39" priority="40" stopIfTrue="1">
      <formula>AND(OR($A202="COMPOSICAO",$A202="INSUMO",$A202&lt;&gt;""),$A202&lt;&gt;"")</formula>
    </cfRule>
    <cfRule type="expression" dxfId="38" priority="39" stopIfTrue="1">
      <formula>AND($A202&lt;&gt;"COMPOSICAO",$A202&lt;&gt;"INSUMO",$A202&lt;&gt;"")</formula>
    </cfRule>
  </conditionalFormatting>
  <conditionalFormatting sqref="B142:F164">
    <cfRule type="expression" dxfId="37" priority="170" stopIfTrue="1">
      <formula>AND(OR($A142="COMPOSICAO",$A142="INSUMO",$A142&lt;&gt;""),$A142&lt;&gt;"")</formula>
    </cfRule>
    <cfRule type="expression" dxfId="36" priority="169" stopIfTrue="1">
      <formula>AND($A142&lt;&gt;"COMPOSICAO",$A142&lt;&gt;"INSUMO",$A142&lt;&gt;"")</formula>
    </cfRule>
  </conditionalFormatting>
  <conditionalFormatting sqref="B171:F173">
    <cfRule type="expression" dxfId="35" priority="121" stopIfTrue="1">
      <formula>AND($A171&lt;&gt;"COMPOSICAO",$A171&lt;&gt;"INSUMO",$A171&lt;&gt;"")</formula>
    </cfRule>
    <cfRule type="expression" dxfId="34" priority="122" stopIfTrue="1">
      <formula>AND(OR($A171="COMPOSICAO",$A171="INSUMO",$A171&lt;&gt;""),$A171&lt;&gt;"")</formula>
    </cfRule>
  </conditionalFormatting>
  <conditionalFormatting sqref="B185:F186">
    <cfRule type="expression" dxfId="33" priority="94" stopIfTrue="1">
      <formula>AND(OR($A185="COMPOSICAO",$A185="INSUMO",$A185&lt;&gt;""),$A185&lt;&gt;"")</formula>
    </cfRule>
    <cfRule type="expression" dxfId="32" priority="93" stopIfTrue="1">
      <formula>AND($A185&lt;&gt;"COMPOSICAO",$A185&lt;&gt;"INSUMO",$A185&lt;&gt;"")</formula>
    </cfRule>
  </conditionalFormatting>
  <conditionalFormatting sqref="B9:H11">
    <cfRule type="expression" dxfId="31" priority="178" stopIfTrue="1">
      <formula>AND(OR($A9="COMPOSICAO",$A9="INSUMO",$A9&lt;&gt;""),$A9&lt;&gt;"")</formula>
    </cfRule>
    <cfRule type="expression" dxfId="30" priority="177" stopIfTrue="1">
      <formula>AND($A9&lt;&gt;"COMPOSICAO",$A9&lt;&gt;"INSUMO",$A9&lt;&gt;"")</formula>
    </cfRule>
  </conditionalFormatting>
  <conditionalFormatting sqref="B17:H19">
    <cfRule type="expression" dxfId="29" priority="184" stopIfTrue="1">
      <formula>AND(OR($A17="COMPOSICAO",$A17="INSUMO",$A17&lt;&gt;""),$A17&lt;&gt;"")</formula>
    </cfRule>
    <cfRule type="expression" dxfId="28" priority="183" stopIfTrue="1">
      <formula>AND($A17&lt;&gt;"COMPOSICAO",$A17&lt;&gt;"INSUMO",$A17&lt;&gt;"")</formula>
    </cfRule>
  </conditionalFormatting>
  <conditionalFormatting sqref="B33:H36">
    <cfRule type="expression" dxfId="27" priority="202" stopIfTrue="1">
      <formula>AND(OR($A33="COMPOSICAO",$A33="INSUMO",$A33&lt;&gt;""),$A33&lt;&gt;"")</formula>
    </cfRule>
    <cfRule type="expression" dxfId="26" priority="201" stopIfTrue="1">
      <formula>AND($A33&lt;&gt;"COMPOSICAO",$A33&lt;&gt;"INSUMO",$A33&lt;&gt;"")</formula>
    </cfRule>
  </conditionalFormatting>
  <conditionalFormatting sqref="B41:H43">
    <cfRule type="expression" dxfId="25" priority="134" stopIfTrue="1">
      <formula>AND(OR($A41="COMPOSICAO",$A41="INSUMO",$A41&lt;&gt;""),$A41&lt;&gt;"")</formula>
    </cfRule>
    <cfRule type="expression" dxfId="24" priority="133" stopIfTrue="1">
      <formula>AND($A41&lt;&gt;"COMPOSICAO",$A41&lt;&gt;"INSUMO",$A41&lt;&gt;"")</formula>
    </cfRule>
  </conditionalFormatting>
  <conditionalFormatting sqref="B50:H51">
    <cfRule type="expression" dxfId="23" priority="30" stopIfTrue="1">
      <formula>AND(OR($A50="COMPOSICAO",$A50="INSUMO",$A50&lt;&gt;""),$A50&lt;&gt;"")</formula>
    </cfRule>
    <cfRule type="expression" dxfId="22" priority="29" stopIfTrue="1">
      <formula>AND($A50&lt;&gt;"COMPOSICAO",$A50&lt;&gt;"INSUMO",$A50&lt;&gt;"")</formula>
    </cfRule>
  </conditionalFormatting>
  <conditionalFormatting sqref="B221:H221">
    <cfRule type="expression" dxfId="21" priority="6" stopIfTrue="1">
      <formula>AND(OR($A221="COMPOSICAO",$A221="INSUMO",$A221&lt;&gt;""),$A221&lt;&gt;"")</formula>
    </cfRule>
    <cfRule type="expression" dxfId="20" priority="5" stopIfTrue="1">
      <formula>AND($A221&lt;&gt;"COMPOSICAO",$A221&lt;&gt;"INSUMO",$A221&lt;&gt;"")</formula>
    </cfRule>
  </conditionalFormatting>
  <conditionalFormatting sqref="D202:D208">
    <cfRule type="expression" dxfId="19" priority="38" stopIfTrue="1">
      <formula>AND(OR(#REF!="COMPOSICAO",#REF!="INSUMO",#REF!&lt;&gt;""),#REF!&lt;&gt;"")</formula>
    </cfRule>
    <cfRule type="expression" dxfId="18" priority="37" stopIfTrue="1">
      <formula>AND(#REF!&lt;&gt;"COMPOSICAO",#REF!&lt;&gt;"INSUMO",#REF!&lt;&gt;"")</formula>
    </cfRule>
  </conditionalFormatting>
  <conditionalFormatting sqref="E25">
    <cfRule type="expression" dxfId="17" priority="7" stopIfTrue="1">
      <formula>AND($A25&lt;&gt;"COMPOSICAO",$A25&lt;&gt;"INSUMO",$A25&lt;&gt;"")</formula>
    </cfRule>
    <cfRule type="expression" dxfId="16" priority="8" stopIfTrue="1">
      <formula>AND(OR($A25="COMPOSICAO",$A25="INSUMO",$A25&lt;&gt;""),$A25&lt;&gt;"")</formula>
    </cfRule>
  </conditionalFormatting>
  <conditionalFormatting sqref="E49">
    <cfRule type="expression" dxfId="15" priority="28" stopIfTrue="1">
      <formula>AND(OR($A49="COMPOSICAO",$A49="INSUMO",$A49&lt;&gt;""),$A49&lt;&gt;"")</formula>
    </cfRule>
    <cfRule type="expression" dxfId="14" priority="27" stopIfTrue="1">
      <formula>AND($A49&lt;&gt;"COMPOSICAO",$A49&lt;&gt;"INSUMO",$A49&lt;&gt;"")</formula>
    </cfRule>
  </conditionalFormatting>
  <conditionalFormatting sqref="E57">
    <cfRule type="expression" dxfId="13" priority="26" stopIfTrue="1">
      <formula>AND(OR($A57="COMPOSICAO",$A57="INSUMO",$A57&lt;&gt;""),$A57&lt;&gt;"")</formula>
    </cfRule>
    <cfRule type="expression" dxfId="12" priority="25" stopIfTrue="1">
      <formula>AND($A57&lt;&gt;"COMPOSICAO",$A57&lt;&gt;"INSUMO",$A57&lt;&gt;"")</formula>
    </cfRule>
  </conditionalFormatting>
  <conditionalFormatting sqref="E65">
    <cfRule type="expression" dxfId="11" priority="20" stopIfTrue="1">
      <formula>AND(OR($A65="COMPOSICAO",$A65="INSUMO",$A65&lt;&gt;""),$A65&lt;&gt;"")</formula>
    </cfRule>
    <cfRule type="expression" dxfId="10" priority="19" stopIfTrue="1">
      <formula>AND($A65&lt;&gt;"COMPOSICAO",$A65&lt;&gt;"INSUMO",$A65&lt;&gt;"")</formula>
    </cfRule>
  </conditionalFormatting>
  <conditionalFormatting sqref="E187:E194">
    <cfRule type="expression" dxfId="9" priority="76" stopIfTrue="1">
      <formula>AND(OR($A187="COMPOSICAO",$A187="INSUMO",$A187&lt;&gt;""),$A187&lt;&gt;"")</formula>
    </cfRule>
    <cfRule type="expression" dxfId="8" priority="75" stopIfTrue="1">
      <formula>AND($A187&lt;&gt;"COMPOSICAO",$A187&lt;&gt;"INSUMO",$A187&lt;&gt;"")</formula>
    </cfRule>
  </conditionalFormatting>
  <conditionalFormatting sqref="G49">
    <cfRule type="expression" dxfId="7" priority="32" stopIfTrue="1">
      <formula>AND(OR($A49="COMPOSICAO",$A49="INSUMO",$A49&lt;&gt;""),$A49&lt;&gt;"")</formula>
    </cfRule>
    <cfRule type="expression" dxfId="6" priority="31" stopIfTrue="1">
      <formula>AND($A49&lt;&gt;"COMPOSICAO",$A49&lt;&gt;"INSUMO",$A49&lt;&gt;"")</formula>
    </cfRule>
  </conditionalFormatting>
  <conditionalFormatting sqref="H26:H27">
    <cfRule type="expression" dxfId="5" priority="9" stopIfTrue="1">
      <formula>AND($A26&lt;&gt;"COMPOSICAO",$A26&lt;&gt;"INSUMO",$A26&lt;&gt;"")</formula>
    </cfRule>
    <cfRule type="expression" dxfId="4" priority="10" stopIfTrue="1">
      <formula>AND(OR($A26="COMPOSICAO",$A26="INSUMO",$A26&lt;&gt;""),$A26&lt;&gt;"")</formula>
    </cfRule>
  </conditionalFormatting>
  <conditionalFormatting sqref="H58:H59">
    <cfRule type="expression" dxfId="3" priority="34" stopIfTrue="1">
      <formula>AND(OR($A58="COMPOSICAO",$A58="INSUMO",$A58&lt;&gt;""),$A58&lt;&gt;"")</formula>
    </cfRule>
    <cfRule type="expression" dxfId="2" priority="33" stopIfTrue="1">
      <formula>AND($A58&lt;&gt;"COMPOSICAO",$A58&lt;&gt;"INSUMO",$A58&lt;&gt;"")</formula>
    </cfRule>
  </conditionalFormatting>
  <conditionalFormatting sqref="H66:H67">
    <cfRule type="expression" dxfId="1" priority="22" stopIfTrue="1">
      <formula>AND(OR($A66="COMPOSICAO",$A66="INSUMO",$A66&lt;&gt;""),$A66&lt;&gt;"")</formula>
    </cfRule>
    <cfRule type="expression" dxfId="0" priority="21" stopIfTrue="1">
      <formula>AND($A66&lt;&gt;"COMPOSICAO",$A66&lt;&gt;"INSUMO",$A66&lt;&gt;"")</formula>
    </cfRule>
  </conditionalFormatting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Orçamento M.A.</vt:lpstr>
      <vt:lpstr>Estimativas de valores</vt:lpstr>
      <vt:lpstr>Cronograma</vt:lpstr>
      <vt:lpstr>Composição</vt:lpstr>
      <vt:lpstr>'Orçamento M.A.'!Area_de_impressao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Castro dos Santos</dc:creator>
  <cp:lastModifiedBy>Cristiane Oliveira</cp:lastModifiedBy>
  <cp:lastPrinted>2023-05-08T19:21:29Z</cp:lastPrinted>
  <dcterms:created xsi:type="dcterms:W3CDTF">2019-11-13T19:01:14Z</dcterms:created>
  <dcterms:modified xsi:type="dcterms:W3CDTF">2023-07-04T18:35:06Z</dcterms:modified>
</cp:coreProperties>
</file>