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I:\Compras 06 - CRISTIANE\Editais 2022\Tomada de Preços\TP 18 Quadra Farroupilha\"/>
    </mc:Choice>
  </mc:AlternateContent>
  <xr:revisionPtr revIDLastSave="0" documentId="8_{FAF336CC-7564-432A-B66A-90C7DFC64E39}" xr6:coauthVersionLast="47" xr6:coauthVersionMax="47" xr10:uidLastSave="{00000000-0000-0000-0000-000000000000}"/>
  <bookViews>
    <workbookView xWindow="-120" yWindow="-120" windowWidth="29040" windowHeight="15840" xr2:uid="{00000000-000D-0000-FFFF-FFFF00000000}"/>
  </bookViews>
  <sheets>
    <sheet name="MATERIAL + MÃO DE OBRA" sheetId="2" r:id="rId1"/>
    <sheet name="Plan1" sheetId="1" r:id="rId2"/>
  </sheets>
  <externalReferences>
    <externalReference r:id="rId3"/>
  </externalReferences>
  <definedNames>
    <definedName name="_xlnm.Print_Area" localSheetId="0">'MATERIAL + MÃO DE OBRA'!$B$1:$N$252</definedName>
    <definedName name="asdasdas">#REF!</definedName>
    <definedName name="CFF.ColunaPadrão">#REF!</definedName>
    <definedName name="CFF.Colunas">#REF!</definedName>
    <definedName name="CFF.Dados">#REF!</definedName>
    <definedName name="CFF.IncluirLinha">#REF!</definedName>
    <definedName name="CFF.Item">#REF!</definedName>
    <definedName name="CFF.LinhaPadrão">#REF!</definedName>
    <definedName name="CFF.NumLinha">#REF!</definedName>
    <definedName name="Composições.LinhaPadrão">#REF!</definedName>
    <definedName name="Cotações.LinhaPadrão">#REF!</definedName>
    <definedName name="Dados.Assinatura1">#REF!</definedName>
    <definedName name="Dados.Assinatura2">#REF!</definedName>
    <definedName name="Dados.Lista.BDI">#REF!</definedName>
    <definedName name="Excel_BuiltIn__FilterDatabase_1">#REF!</definedName>
    <definedName name="Excel_BuiltIn__FilterDatabase_1_1">#REF!</definedName>
    <definedName name="Excel_BuiltIn__FilterDatabase_1_2">#REF!</definedName>
    <definedName name="Excel_BuiltIn__FilterDatabase_2">#REF!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1_1_1_1_1_1_1">#REF!</definedName>
    <definedName name="Excel_BuiltIn_Print_Area_1_1_1_1_1_1_2">#REF!</definedName>
    <definedName name="Excel_BuiltIn_Print_Area_1_1_1_1_1_1_4">#REF!</definedName>
    <definedName name="Excel_BuiltIn_Print_Area_1_1_1_1_1_2">#REF!</definedName>
    <definedName name="Excel_BuiltIn_Print_Area_1_1_1_1_1_4">#REF!</definedName>
    <definedName name="Excel_BuiltIn_Print_Area_1_1_1_1_2">#REF!</definedName>
    <definedName name="Excel_BuiltIn_Print_Area_1_1_1_1_4">#REF!</definedName>
    <definedName name="Excel_BuiltIn_Print_Area_1_1_1_2">#REF!</definedName>
    <definedName name="Excel_BuiltIn_Print_Area_1_1_1_4">#REF!</definedName>
    <definedName name="Excel_BuiltIn_Print_Area_1_1_2">#REF!</definedName>
    <definedName name="Excel_BuiltIn_Print_Area_1_1_4">#REF!</definedName>
    <definedName name="Excel_BuiltIn_Print_Area_2_1">#REF!</definedName>
    <definedName name="Excel_BuiltIn_Print_Area_2_1_1">#REF!</definedName>
    <definedName name="Excel_BuiltIn_Print_Area_2_1_1_1_1">#REF!</definedName>
    <definedName name="Excel_BuiltIn_Print_Area_3_3">#REF!</definedName>
    <definedName name="Excel_BuiltIn_Print_Titles_2_1">#REF!</definedName>
    <definedName name="Excel_BuiltIn_Print_Titles_2_1_1">#REF!</definedName>
    <definedName name="Excel_BuiltIn_Print_Titles_2_1_1_1">#REF!</definedName>
    <definedName name="Excel_BuiltIn_Print_Titles_3_1_1">#REF!</definedName>
    <definedName name="Excel_BuiltIn_Print_Titles_3_1_1_1">#REF!</definedName>
    <definedName name="Import.Ação">#REF!</definedName>
    <definedName name="Import.Apelido">#REF!</definedName>
    <definedName name="Import.CNPJ">#REF!</definedName>
    <definedName name="Import.CR">#REF!</definedName>
    <definedName name="Import.CTEF">#REF!</definedName>
    <definedName name="Import.DadosBDI">#REF!</definedName>
    <definedName name="Import.DataAssinaturaCTEF">#REF!</definedName>
    <definedName name="Import.DataBase">#REF!</definedName>
    <definedName name="Import.DataBaseLicit">#REF!</definedName>
    <definedName name="Import.DataCot">#REF!</definedName>
    <definedName name="Import.DataCotIndice">#REF!</definedName>
    <definedName name="Import.DataInícioObra">#REF!</definedName>
    <definedName name="Import.DescComp">#REF!</definedName>
    <definedName name="Import.DescCot">#REF!</definedName>
    <definedName name="Import.DescLote">#REF!</definedName>
    <definedName name="Import.Desoneracao">#REF!</definedName>
    <definedName name="Import.DesoneracaoLicit">#REF!</definedName>
    <definedName name="Import.Empresa">#REF!</definedName>
    <definedName name="Import.FontComp">#REF!</definedName>
    <definedName name="Import.Gestor">#REF!</definedName>
    <definedName name="Import.IndiceAtual">#REF!</definedName>
    <definedName name="Import.IndiceCot">#REF!</definedName>
    <definedName name="Import.Localidade">#REF!</definedName>
    <definedName name="Import.LocalSINAPI">#REF!</definedName>
    <definedName name="Import.Município">#REF!</definedName>
    <definedName name="Import.NomeEmpresaForn">#REF!</definedName>
    <definedName name="Import.ObjetoCR">#REF!</definedName>
    <definedName name="Import.ObjetoCTEF">#REF!</definedName>
    <definedName name="Import.ObsComp">#REF!</definedName>
    <definedName name="Import.ObsCot">#REF!</definedName>
    <definedName name="Import.ObsForn">#REF!</definedName>
    <definedName name="Import.ObsIndice">#REF!</definedName>
    <definedName name="Import.Programa">#REF!</definedName>
    <definedName name="Import.Proponente">#REF!</definedName>
    <definedName name="Import.RegimeExecução">#REF!</definedName>
    <definedName name="Import.TelefoneForn">#REF!</definedName>
    <definedName name="Import.TipoComp">#REF!</definedName>
    <definedName name="Import.TipoCot">#REF!</definedName>
    <definedName name="Import.UnidadeComp">#REF!</definedName>
    <definedName name="Import.UnidCot">#REF!</definedName>
    <definedName name="Import.Valor1Indice">#REF!</definedName>
    <definedName name="Import.Valor2Indice">#REF!</definedName>
    <definedName name="Import.ValorCot">#REF!</definedName>
    <definedName name="Import.Vigência">#REF!</definedName>
    <definedName name="Índices.LinhaPadrão">#REF!</definedName>
    <definedName name="Já_apresentado__a_licitar">#REF!</definedName>
    <definedName name="Linhacabeçalhodados">#REF!</definedName>
    <definedName name="ListaFornecedor">#REF!</definedName>
    <definedName name="ListaIndice">#REF!</definedName>
    <definedName name="listasit">#REF!</definedName>
    <definedName name="NMaxCrono">#REF!</definedName>
    <definedName name="NRELATORIOS">#REF!</definedName>
    <definedName name="Objeto">#REF!</definedName>
    <definedName name="olas">#REF!</definedName>
    <definedName name="PO.CustoUnitario">#REF!</definedName>
    <definedName name="PO.PrecoUnitario">#REF!</definedName>
    <definedName name="PO.Quantidade">#REF!</definedName>
    <definedName name="Proposta">#REF!</definedName>
    <definedName name="Referencia.Descricao">#REF!</definedName>
    <definedName name="Referencia.Desonerado">#REF!</definedName>
    <definedName name="Referencia.NaoDesonerado">#REF!</definedName>
    <definedName name="Referencia.Unidade">#REF!</definedName>
    <definedName name="RelatoriosFontes">#REF!</definedName>
    <definedName name="SaldoPerc">#REF!</definedName>
    <definedName name="sdd">#REF!</definedName>
    <definedName name="SomaAgrup">#REF!</definedName>
    <definedName name="SubItemInvestimento">#REF!</definedName>
    <definedName name="Versao">#REF!</definedName>
    <definedName name="VTOTAL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9" i="2" l="1"/>
  <c r="E9" i="2"/>
  <c r="G9" i="2"/>
  <c r="H9" i="2"/>
  <c r="M9" i="2" s="1"/>
  <c r="L9" i="2"/>
  <c r="E10" i="2"/>
  <c r="I10" i="2"/>
  <c r="J10" i="2" s="1"/>
  <c r="L10" i="2"/>
  <c r="M10" i="2"/>
  <c r="G11" i="2"/>
  <c r="H11" i="2"/>
  <c r="M11" i="2" s="1"/>
  <c r="I12" i="2"/>
  <c r="J12" i="2" s="1"/>
  <c r="L12" i="2"/>
  <c r="M12" i="2"/>
  <c r="N12" i="2"/>
  <c r="D13" i="2"/>
  <c r="E13" i="2"/>
  <c r="I13" i="2"/>
  <c r="J13" i="2" s="1"/>
  <c r="L13" i="2"/>
  <c r="M13" i="2"/>
  <c r="I14" i="2"/>
  <c r="J14" i="2" s="1"/>
  <c r="L14" i="2"/>
  <c r="N14" i="2" s="1"/>
  <c r="M14" i="2"/>
  <c r="I15" i="2"/>
  <c r="J15" i="2" s="1"/>
  <c r="L15" i="2"/>
  <c r="M15" i="2"/>
  <c r="H16" i="2"/>
  <c r="I16" i="2"/>
  <c r="J16" i="2" s="1"/>
  <c r="L16" i="2"/>
  <c r="M16" i="2"/>
  <c r="N16" i="2"/>
  <c r="D19" i="2"/>
  <c r="E19" i="2"/>
  <c r="L19" i="2" s="1"/>
  <c r="I19" i="2"/>
  <c r="J19" i="2" s="1"/>
  <c r="M19" i="2"/>
  <c r="D20" i="2"/>
  <c r="E20" i="2"/>
  <c r="L20" i="2" s="1"/>
  <c r="I20" i="2"/>
  <c r="J20" i="2" s="1"/>
  <c r="I21" i="2"/>
  <c r="J21" i="2" s="1"/>
  <c r="L21" i="2"/>
  <c r="M21" i="2"/>
  <c r="C24" i="2"/>
  <c r="D24" i="2"/>
  <c r="E24" i="2"/>
  <c r="G24" i="2"/>
  <c r="I24" i="2" s="1"/>
  <c r="C25" i="2"/>
  <c r="D25" i="2"/>
  <c r="E25" i="2"/>
  <c r="J25" i="2" s="1"/>
  <c r="I25" i="2"/>
  <c r="M25" i="2"/>
  <c r="C26" i="2"/>
  <c r="D26" i="2"/>
  <c r="E26" i="2"/>
  <c r="M26" i="2" s="1"/>
  <c r="G26" i="2"/>
  <c r="I26" i="2" s="1"/>
  <c r="J26" i="2" s="1"/>
  <c r="C27" i="2"/>
  <c r="D27" i="2"/>
  <c r="E27" i="2"/>
  <c r="L27" i="2" s="1"/>
  <c r="I27" i="2"/>
  <c r="C28" i="2"/>
  <c r="D28" i="2"/>
  <c r="E28" i="2"/>
  <c r="M28" i="2" s="1"/>
  <c r="G28" i="2"/>
  <c r="I28" i="2" s="1"/>
  <c r="C29" i="2"/>
  <c r="D29" i="2"/>
  <c r="E29" i="2"/>
  <c r="L29" i="2" s="1"/>
  <c r="I29" i="2"/>
  <c r="J29" i="2" s="1"/>
  <c r="M29" i="2"/>
  <c r="C30" i="2"/>
  <c r="D30" i="2"/>
  <c r="E30" i="2"/>
  <c r="I30" i="2"/>
  <c r="E31" i="2"/>
  <c r="M31" i="2" s="1"/>
  <c r="G31" i="2"/>
  <c r="I31" i="2" s="1"/>
  <c r="E32" i="2"/>
  <c r="L32" i="2" s="1"/>
  <c r="I32" i="2"/>
  <c r="C36" i="2"/>
  <c r="D36" i="2"/>
  <c r="E36" i="2"/>
  <c r="G36" i="2"/>
  <c r="I36" i="2" s="1"/>
  <c r="D37" i="2"/>
  <c r="E37" i="2"/>
  <c r="F37" i="2"/>
  <c r="I37" i="2"/>
  <c r="D38" i="2"/>
  <c r="E38" i="2"/>
  <c r="F38" i="2"/>
  <c r="I38" i="2"/>
  <c r="L38" i="2"/>
  <c r="D39" i="2"/>
  <c r="E39" i="2"/>
  <c r="M39" i="2" s="1"/>
  <c r="G39" i="2"/>
  <c r="I39" i="2" s="1"/>
  <c r="C41" i="2"/>
  <c r="D41" i="2"/>
  <c r="E41" i="2"/>
  <c r="L41" i="2" s="1"/>
  <c r="I41" i="2"/>
  <c r="D42" i="2"/>
  <c r="E42" i="2"/>
  <c r="F42" i="2"/>
  <c r="I42" i="2"/>
  <c r="L42" i="2"/>
  <c r="D43" i="2"/>
  <c r="E43" i="2"/>
  <c r="F43" i="2"/>
  <c r="I43" i="2"/>
  <c r="E44" i="2"/>
  <c r="M44" i="2" s="1"/>
  <c r="G44" i="2"/>
  <c r="C46" i="2"/>
  <c r="D46" i="2"/>
  <c r="E46" i="2"/>
  <c r="L46" i="2" s="1"/>
  <c r="I46" i="2"/>
  <c r="J46" i="2" s="1"/>
  <c r="C47" i="2"/>
  <c r="D47" i="2"/>
  <c r="E47" i="2"/>
  <c r="G47" i="2"/>
  <c r="I47" i="2" s="1"/>
  <c r="E48" i="2"/>
  <c r="I48" i="2"/>
  <c r="E49" i="2"/>
  <c r="L49" i="2" s="1"/>
  <c r="I49" i="2"/>
  <c r="E50" i="2"/>
  <c r="I50" i="2"/>
  <c r="E51" i="2"/>
  <c r="L51" i="2" s="1"/>
  <c r="I51" i="2"/>
  <c r="J51" i="2" s="1"/>
  <c r="M51" i="2"/>
  <c r="E52" i="2"/>
  <c r="I52" i="2"/>
  <c r="E53" i="2"/>
  <c r="L53" i="2" s="1"/>
  <c r="I53" i="2"/>
  <c r="M53" i="2"/>
  <c r="I56" i="2"/>
  <c r="J56" i="2" s="1"/>
  <c r="L56" i="2"/>
  <c r="N56" i="2" s="1"/>
  <c r="M56" i="2"/>
  <c r="I57" i="2"/>
  <c r="J57" i="2" s="1"/>
  <c r="L57" i="2"/>
  <c r="M57" i="2"/>
  <c r="I58" i="2"/>
  <c r="J58" i="2" s="1"/>
  <c r="L58" i="2"/>
  <c r="M58" i="2"/>
  <c r="I59" i="2"/>
  <c r="J59" i="2" s="1"/>
  <c r="L59" i="2"/>
  <c r="M59" i="2"/>
  <c r="I60" i="2"/>
  <c r="J60" i="2" s="1"/>
  <c r="L60" i="2"/>
  <c r="N60" i="2" s="1"/>
  <c r="M60" i="2"/>
  <c r="E61" i="2"/>
  <c r="I61" i="2"/>
  <c r="E62" i="2"/>
  <c r="L62" i="2" s="1"/>
  <c r="I62" i="2"/>
  <c r="D65" i="2"/>
  <c r="E65" i="2"/>
  <c r="L65" i="2" s="1"/>
  <c r="I65" i="2"/>
  <c r="J65" i="2" s="1"/>
  <c r="M65" i="2"/>
  <c r="C66" i="2"/>
  <c r="D66" i="2"/>
  <c r="E66" i="2"/>
  <c r="F66" i="2"/>
  <c r="G66" i="2"/>
  <c r="I66" i="2" s="1"/>
  <c r="M66" i="2"/>
  <c r="C67" i="2"/>
  <c r="D67" i="2"/>
  <c r="E67" i="2"/>
  <c r="F67" i="2"/>
  <c r="G67" i="2"/>
  <c r="I67" i="2" s="1"/>
  <c r="L67" i="2"/>
  <c r="C68" i="2"/>
  <c r="D68" i="2"/>
  <c r="E68" i="2"/>
  <c r="M68" i="2" s="1"/>
  <c r="F68" i="2"/>
  <c r="I68" i="2"/>
  <c r="L68" i="2"/>
  <c r="N68" i="2"/>
  <c r="C69" i="2"/>
  <c r="D69" i="2"/>
  <c r="E69" i="2"/>
  <c r="M69" i="2" s="1"/>
  <c r="G69" i="2"/>
  <c r="C72" i="2"/>
  <c r="D72" i="2"/>
  <c r="E72" i="2"/>
  <c r="F72" i="2"/>
  <c r="I72" i="2"/>
  <c r="C73" i="2"/>
  <c r="D73" i="2"/>
  <c r="E73" i="2"/>
  <c r="M73" i="2" s="1"/>
  <c r="F73" i="2"/>
  <c r="I73" i="2"/>
  <c r="C74" i="2"/>
  <c r="D74" i="2"/>
  <c r="E74" i="2"/>
  <c r="F74" i="2"/>
  <c r="I74" i="2"/>
  <c r="E75" i="2"/>
  <c r="I75" i="2"/>
  <c r="E76" i="2"/>
  <c r="L76" i="2" s="1"/>
  <c r="I76" i="2"/>
  <c r="J76" i="2" s="1"/>
  <c r="M76" i="2"/>
  <c r="N76" i="2" s="1"/>
  <c r="D77" i="2"/>
  <c r="E77" i="2"/>
  <c r="M77" i="2" s="1"/>
  <c r="F77" i="2"/>
  <c r="I77" i="2"/>
  <c r="J77" i="2" s="1"/>
  <c r="L77" i="2"/>
  <c r="N77" i="2" s="1"/>
  <c r="E78" i="2"/>
  <c r="L78" i="2" s="1"/>
  <c r="G78" i="2"/>
  <c r="H78" i="2"/>
  <c r="I79" i="2"/>
  <c r="J79" i="2" s="1"/>
  <c r="L79" i="2"/>
  <c r="M79" i="2"/>
  <c r="E82" i="2"/>
  <c r="L82" i="2" s="1"/>
  <c r="I82" i="2"/>
  <c r="M82" i="2"/>
  <c r="E83" i="2"/>
  <c r="L83" i="2" s="1"/>
  <c r="I83" i="2"/>
  <c r="E84" i="2"/>
  <c r="L84" i="2" s="1"/>
  <c r="I84" i="2"/>
  <c r="M84" i="2"/>
  <c r="E85" i="2"/>
  <c r="L85" i="2" s="1"/>
  <c r="F85" i="2"/>
  <c r="I85" i="2"/>
  <c r="C88" i="2"/>
  <c r="D88" i="2"/>
  <c r="E88" i="2"/>
  <c r="I88" i="2"/>
  <c r="C89" i="2"/>
  <c r="D89" i="2"/>
  <c r="E89" i="2"/>
  <c r="M89" i="2" s="1"/>
  <c r="G89" i="2"/>
  <c r="I89" i="2" s="1"/>
  <c r="J89" i="2"/>
  <c r="C90" i="2"/>
  <c r="D90" i="2"/>
  <c r="E90" i="2"/>
  <c r="J90" i="2" s="1"/>
  <c r="I90" i="2"/>
  <c r="L90" i="2"/>
  <c r="M90" i="2"/>
  <c r="C91" i="2"/>
  <c r="D91" i="2"/>
  <c r="E91" i="2"/>
  <c r="I91" i="2"/>
  <c r="J91" i="2"/>
  <c r="L91" i="2"/>
  <c r="N91" i="2" s="1"/>
  <c r="M91" i="2"/>
  <c r="E94" i="2"/>
  <c r="M94" i="2" s="1"/>
  <c r="G94" i="2"/>
  <c r="I94" i="2" s="1"/>
  <c r="E95" i="2"/>
  <c r="L95" i="2" s="1"/>
  <c r="I95" i="2"/>
  <c r="J95" i="2" s="1"/>
  <c r="E96" i="2"/>
  <c r="G96" i="2"/>
  <c r="I96" i="2" s="1"/>
  <c r="E97" i="2"/>
  <c r="G97" i="2"/>
  <c r="I97" i="2" s="1"/>
  <c r="E98" i="2"/>
  <c r="L98" i="2" s="1"/>
  <c r="I98" i="2"/>
  <c r="E99" i="2"/>
  <c r="M99" i="2" s="1"/>
  <c r="G99" i="2"/>
  <c r="I99" i="2" s="1"/>
  <c r="J99" i="2" s="1"/>
  <c r="E100" i="2"/>
  <c r="I100" i="2"/>
  <c r="E101" i="2"/>
  <c r="L101" i="2" s="1"/>
  <c r="I101" i="2"/>
  <c r="J101" i="2" s="1"/>
  <c r="M101" i="2"/>
  <c r="E102" i="2"/>
  <c r="L102" i="2" s="1"/>
  <c r="I102" i="2"/>
  <c r="C104" i="2"/>
  <c r="D104" i="2"/>
  <c r="E104" i="2"/>
  <c r="F104" i="2"/>
  <c r="C106" i="2"/>
  <c r="D106" i="2"/>
  <c r="E106" i="2"/>
  <c r="I106" i="2"/>
  <c r="C107" i="2"/>
  <c r="D107" i="2"/>
  <c r="E107" i="2"/>
  <c r="I107" i="2"/>
  <c r="C108" i="2"/>
  <c r="D108" i="2"/>
  <c r="E108" i="2"/>
  <c r="I108" i="2"/>
  <c r="C110" i="2"/>
  <c r="D110" i="2"/>
  <c r="E110" i="2"/>
  <c r="L110" i="2" s="1"/>
  <c r="I110" i="2"/>
  <c r="J110" i="2" s="1"/>
  <c r="M110" i="2"/>
  <c r="N110" i="2" s="1"/>
  <c r="E111" i="2"/>
  <c r="L111" i="2" s="1"/>
  <c r="N111" i="2" s="1"/>
  <c r="I111" i="2"/>
  <c r="J111" i="2" s="1"/>
  <c r="M111" i="2"/>
  <c r="C112" i="2"/>
  <c r="D112" i="2"/>
  <c r="I112" i="2"/>
  <c r="J112" i="2" s="1"/>
  <c r="L112" i="2"/>
  <c r="M112" i="2"/>
  <c r="N112" i="2"/>
  <c r="C114" i="2"/>
  <c r="D114" i="2"/>
  <c r="E114" i="2"/>
  <c r="F114" i="2"/>
  <c r="C115" i="2"/>
  <c r="D115" i="2"/>
  <c r="E115" i="2"/>
  <c r="M115" i="2" s="1"/>
  <c r="F115" i="2"/>
  <c r="I115" i="2"/>
  <c r="C116" i="2"/>
  <c r="D116" i="2"/>
  <c r="E116" i="2"/>
  <c r="L116" i="2" s="1"/>
  <c r="F116" i="2"/>
  <c r="I116" i="2"/>
  <c r="E117" i="2"/>
  <c r="I117" i="2"/>
  <c r="J117" i="2"/>
  <c r="L117" i="2"/>
  <c r="M117" i="2"/>
  <c r="E118" i="2"/>
  <c r="L118" i="2" s="1"/>
  <c r="I118" i="2"/>
  <c r="J118" i="2" s="1"/>
  <c r="M118" i="2"/>
  <c r="N118" i="2" s="1"/>
  <c r="E119" i="2"/>
  <c r="M119" i="2" s="1"/>
  <c r="G119" i="2"/>
  <c r="I119" i="2" s="1"/>
  <c r="J119" i="2" s="1"/>
  <c r="E120" i="2"/>
  <c r="I120" i="2"/>
  <c r="E121" i="2"/>
  <c r="L121" i="2" s="1"/>
  <c r="I121" i="2"/>
  <c r="E122" i="2"/>
  <c r="I122" i="2"/>
  <c r="E123" i="2"/>
  <c r="L123" i="2" s="1"/>
  <c r="I123" i="2"/>
  <c r="J123" i="2" s="1"/>
  <c r="D124" i="2"/>
  <c r="E124" i="2"/>
  <c r="G124" i="2"/>
  <c r="L124" i="2" s="1"/>
  <c r="N124" i="2" s="1"/>
  <c r="I124" i="2"/>
  <c r="J124" i="2" s="1"/>
  <c r="M124" i="2"/>
  <c r="E125" i="2"/>
  <c r="I125" i="2"/>
  <c r="E126" i="2"/>
  <c r="G126" i="2"/>
  <c r="I126" i="2"/>
  <c r="J126" i="2" s="1"/>
  <c r="M126" i="2"/>
  <c r="C129" i="2"/>
  <c r="D129" i="2"/>
  <c r="E129" i="2"/>
  <c r="M129" i="2" s="1"/>
  <c r="F129" i="2"/>
  <c r="I129" i="2"/>
  <c r="C130" i="2"/>
  <c r="D130" i="2"/>
  <c r="E130" i="2"/>
  <c r="M130" i="2" s="1"/>
  <c r="F130" i="2"/>
  <c r="I130" i="2"/>
  <c r="C131" i="2"/>
  <c r="D131" i="2"/>
  <c r="E131" i="2"/>
  <c r="M131" i="2" s="1"/>
  <c r="F131" i="2"/>
  <c r="I131" i="2"/>
  <c r="J131" i="2"/>
  <c r="L131" i="2"/>
  <c r="N131" i="2" s="1"/>
  <c r="C132" i="2"/>
  <c r="D132" i="2"/>
  <c r="E132" i="2"/>
  <c r="F132" i="2"/>
  <c r="I132" i="2"/>
  <c r="J132" i="2" s="1"/>
  <c r="L132" i="2"/>
  <c r="N132" i="2" s="1"/>
  <c r="M132" i="2"/>
  <c r="C133" i="2"/>
  <c r="D133" i="2"/>
  <c r="E133" i="2"/>
  <c r="F133" i="2"/>
  <c r="I133" i="2"/>
  <c r="L133" i="2"/>
  <c r="N133" i="2" s="1"/>
  <c r="M133" i="2"/>
  <c r="E134" i="2"/>
  <c r="F134" i="2"/>
  <c r="G134" i="2"/>
  <c r="H134" i="2"/>
  <c r="M134" i="2" s="1"/>
  <c r="C135" i="2"/>
  <c r="D135" i="2"/>
  <c r="E135" i="2"/>
  <c r="M135" i="2" s="1"/>
  <c r="F135" i="2"/>
  <c r="I135" i="2"/>
  <c r="J135" i="2" s="1"/>
  <c r="L135" i="2"/>
  <c r="N135" i="2" s="1"/>
  <c r="C136" i="2"/>
  <c r="D136" i="2"/>
  <c r="E136" i="2"/>
  <c r="L136" i="2" s="1"/>
  <c r="F136" i="2"/>
  <c r="I136" i="2"/>
  <c r="C137" i="2"/>
  <c r="D137" i="2"/>
  <c r="E137" i="2"/>
  <c r="L137" i="2" s="1"/>
  <c r="N137" i="2" s="1"/>
  <c r="F137" i="2"/>
  <c r="I137" i="2"/>
  <c r="M137" i="2"/>
  <c r="E138" i="2"/>
  <c r="L138" i="2" s="1"/>
  <c r="F138" i="2"/>
  <c r="I138" i="2"/>
  <c r="C139" i="2"/>
  <c r="D139" i="2"/>
  <c r="E139" i="2"/>
  <c r="L139" i="2" s="1"/>
  <c r="F139" i="2"/>
  <c r="I139" i="2"/>
  <c r="C140" i="2"/>
  <c r="D140" i="2"/>
  <c r="E140" i="2"/>
  <c r="L140" i="2" s="1"/>
  <c r="F140" i="2"/>
  <c r="I140" i="2"/>
  <c r="C141" i="2"/>
  <c r="D141" i="2"/>
  <c r="E141" i="2"/>
  <c r="M141" i="2" s="1"/>
  <c r="F141" i="2"/>
  <c r="I141" i="2"/>
  <c r="C144" i="2"/>
  <c r="D144" i="2"/>
  <c r="E144" i="2"/>
  <c r="L144" i="2" s="1"/>
  <c r="F144" i="2"/>
  <c r="I144" i="2"/>
  <c r="D145" i="2"/>
  <c r="E145" i="2"/>
  <c r="M145" i="2" s="1"/>
  <c r="F145" i="2"/>
  <c r="G145" i="2"/>
  <c r="I145" i="2" s="1"/>
  <c r="H145" i="2"/>
  <c r="E146" i="2"/>
  <c r="M146" i="2" s="1"/>
  <c r="F146" i="2"/>
  <c r="I146" i="2"/>
  <c r="J146" i="2" s="1"/>
  <c r="C147" i="2"/>
  <c r="D147" i="2"/>
  <c r="E147" i="2"/>
  <c r="F147" i="2"/>
  <c r="I147" i="2"/>
  <c r="D148" i="2"/>
  <c r="E148" i="2"/>
  <c r="F148" i="2"/>
  <c r="G148" i="2"/>
  <c r="L148" i="2" s="1"/>
  <c r="H148" i="2"/>
  <c r="D151" i="2"/>
  <c r="E151" i="2"/>
  <c r="L151" i="2" s="1"/>
  <c r="F151" i="2"/>
  <c r="I151" i="2"/>
  <c r="C152" i="2"/>
  <c r="D152" i="2"/>
  <c r="E152" i="2"/>
  <c r="L152" i="2" s="1"/>
  <c r="F152" i="2"/>
  <c r="I152" i="2"/>
  <c r="C153" i="2"/>
  <c r="D153" i="2"/>
  <c r="E153" i="2"/>
  <c r="M153" i="2" s="1"/>
  <c r="F153" i="2"/>
  <c r="I153" i="2"/>
  <c r="L153" i="2"/>
  <c r="N153" i="2" s="1"/>
  <c r="C154" i="2"/>
  <c r="D154" i="2"/>
  <c r="E154" i="2"/>
  <c r="F154" i="2"/>
  <c r="I154" i="2"/>
  <c r="E155" i="2"/>
  <c r="M155" i="2" s="1"/>
  <c r="F155" i="2"/>
  <c r="I155" i="2"/>
  <c r="E156" i="2"/>
  <c r="L156" i="2" s="1"/>
  <c r="F156" i="2"/>
  <c r="I156" i="2"/>
  <c r="M156" i="2"/>
  <c r="E157" i="2"/>
  <c r="L157" i="2" s="1"/>
  <c r="F157" i="2"/>
  <c r="I157" i="2"/>
  <c r="C158" i="2"/>
  <c r="D158" i="2"/>
  <c r="E158" i="2"/>
  <c r="L158" i="2" s="1"/>
  <c r="F158" i="2"/>
  <c r="I158" i="2"/>
  <c r="E161" i="2"/>
  <c r="I161" i="2"/>
  <c r="I162" i="2"/>
  <c r="J162" i="2" s="1"/>
  <c r="L162" i="2"/>
  <c r="M162" i="2"/>
  <c r="N162" i="2" s="1"/>
  <c r="I163" i="2"/>
  <c r="J163" i="2" s="1"/>
  <c r="L163" i="2"/>
  <c r="M163" i="2"/>
  <c r="E164" i="2"/>
  <c r="G164" i="2"/>
  <c r="H164" i="2"/>
  <c r="I165" i="2"/>
  <c r="J165" i="2" s="1"/>
  <c r="L165" i="2"/>
  <c r="M165" i="2"/>
  <c r="E166" i="2"/>
  <c r="M166" i="2" s="1"/>
  <c r="G166" i="2"/>
  <c r="I166" i="2" s="1"/>
  <c r="H166" i="2"/>
  <c r="E167" i="2"/>
  <c r="L167" i="2" s="1"/>
  <c r="I167" i="2"/>
  <c r="E168" i="2"/>
  <c r="L168" i="2" s="1"/>
  <c r="I168" i="2"/>
  <c r="J168" i="2" s="1"/>
  <c r="I169" i="2"/>
  <c r="J169" i="2" s="1"/>
  <c r="L169" i="2"/>
  <c r="M169" i="2"/>
  <c r="I170" i="2"/>
  <c r="J170" i="2" s="1"/>
  <c r="L170" i="2"/>
  <c r="M170" i="2"/>
  <c r="N170" i="2" s="1"/>
  <c r="I171" i="2"/>
  <c r="J171" i="2" s="1"/>
  <c r="L171" i="2"/>
  <c r="M171" i="2"/>
  <c r="I172" i="2"/>
  <c r="J172" i="2" s="1"/>
  <c r="L172" i="2"/>
  <c r="M172" i="2"/>
  <c r="I173" i="2"/>
  <c r="J173" i="2" s="1"/>
  <c r="L173" i="2"/>
  <c r="N173" i="2" s="1"/>
  <c r="M173" i="2"/>
  <c r="I174" i="2"/>
  <c r="J174" i="2" s="1"/>
  <c r="L174" i="2"/>
  <c r="M174" i="2"/>
  <c r="E175" i="2"/>
  <c r="L175" i="2" s="1"/>
  <c r="G175" i="2"/>
  <c r="H175" i="2"/>
  <c r="I175" i="2" s="1"/>
  <c r="C176" i="2"/>
  <c r="E176" i="2"/>
  <c r="L176" i="2" s="1"/>
  <c r="G176" i="2"/>
  <c r="H176" i="2"/>
  <c r="E177" i="2"/>
  <c r="M177" i="2" s="1"/>
  <c r="I177" i="2"/>
  <c r="E178" i="2"/>
  <c r="L178" i="2" s="1"/>
  <c r="I178" i="2"/>
  <c r="E179" i="2"/>
  <c r="M179" i="2" s="1"/>
  <c r="I179" i="2"/>
  <c r="E180" i="2"/>
  <c r="G180" i="2"/>
  <c r="H180" i="2"/>
  <c r="E181" i="2"/>
  <c r="L181" i="2" s="1"/>
  <c r="I181" i="2"/>
  <c r="E182" i="2"/>
  <c r="G182" i="2"/>
  <c r="H182" i="2"/>
  <c r="M182" i="2" s="1"/>
  <c r="L182" i="2"/>
  <c r="E183" i="2"/>
  <c r="M183" i="2" s="1"/>
  <c r="I183" i="2"/>
  <c r="E184" i="2"/>
  <c r="L184" i="2" s="1"/>
  <c r="I184" i="2"/>
  <c r="J184" i="2" s="1"/>
  <c r="E185" i="2"/>
  <c r="M185" i="2" s="1"/>
  <c r="I185" i="2"/>
  <c r="E186" i="2"/>
  <c r="M186" i="2" s="1"/>
  <c r="G186" i="2"/>
  <c r="I186" i="2" s="1"/>
  <c r="J186" i="2" s="1"/>
  <c r="E187" i="2"/>
  <c r="L187" i="2" s="1"/>
  <c r="I187" i="2"/>
  <c r="J187" i="2" s="1"/>
  <c r="M187" i="2"/>
  <c r="E188" i="2"/>
  <c r="L188" i="2" s="1"/>
  <c r="I188" i="2"/>
  <c r="M188" i="2"/>
  <c r="C191" i="2"/>
  <c r="D191" i="2"/>
  <c r="E191" i="2"/>
  <c r="M191" i="2" s="1"/>
  <c r="G191" i="2"/>
  <c r="I191" i="2"/>
  <c r="C192" i="2"/>
  <c r="D192" i="2"/>
  <c r="E192" i="2"/>
  <c r="L192" i="2" s="1"/>
  <c r="I192" i="2"/>
  <c r="C193" i="2"/>
  <c r="D193" i="2"/>
  <c r="E193" i="2"/>
  <c r="M193" i="2" s="1"/>
  <c r="G193" i="2"/>
  <c r="I193" i="2" s="1"/>
  <c r="J193" i="2" s="1"/>
  <c r="C194" i="2"/>
  <c r="D194" i="2"/>
  <c r="E194" i="2"/>
  <c r="F194" i="2"/>
  <c r="I194" i="2"/>
  <c r="C195" i="2"/>
  <c r="D195" i="2"/>
  <c r="E195" i="2"/>
  <c r="M195" i="2" s="1"/>
  <c r="F195" i="2"/>
  <c r="I195" i="2"/>
  <c r="C196" i="2"/>
  <c r="D196" i="2"/>
  <c r="E196" i="2"/>
  <c r="F196" i="2"/>
  <c r="I196" i="2"/>
  <c r="E197" i="2"/>
  <c r="G197" i="2"/>
  <c r="I197" i="2" s="1"/>
  <c r="C198" i="2"/>
  <c r="D198" i="2"/>
  <c r="E198" i="2"/>
  <c r="L198" i="2" s="1"/>
  <c r="I198" i="2"/>
  <c r="J198" i="2"/>
  <c r="M198" i="2"/>
  <c r="C199" i="2"/>
  <c r="D199" i="2"/>
  <c r="E199" i="2"/>
  <c r="M199" i="2" s="1"/>
  <c r="G199" i="2"/>
  <c r="I199" i="2"/>
  <c r="J199" i="2" s="1"/>
  <c r="L199" i="2"/>
  <c r="N199" i="2" s="1"/>
  <c r="C200" i="2"/>
  <c r="D200" i="2"/>
  <c r="E200" i="2"/>
  <c r="M200" i="2" s="1"/>
  <c r="G200" i="2"/>
  <c r="C201" i="2"/>
  <c r="D201" i="2"/>
  <c r="E201" i="2"/>
  <c r="L201" i="2" s="1"/>
  <c r="I201" i="2"/>
  <c r="C202" i="2"/>
  <c r="D202" i="2"/>
  <c r="E202" i="2"/>
  <c r="M202" i="2" s="1"/>
  <c r="G202" i="2"/>
  <c r="I202" i="2" s="1"/>
  <c r="C203" i="2"/>
  <c r="D203" i="2"/>
  <c r="E203" i="2"/>
  <c r="G203" i="2"/>
  <c r="I203" i="2" s="1"/>
  <c r="J203" i="2" s="1"/>
  <c r="M203" i="2"/>
  <c r="C204" i="2"/>
  <c r="D204" i="2"/>
  <c r="E204" i="2"/>
  <c r="M204" i="2" s="1"/>
  <c r="G204" i="2"/>
  <c r="I204" i="2" s="1"/>
  <c r="J204" i="2" s="1"/>
  <c r="C205" i="2"/>
  <c r="D205" i="2"/>
  <c r="E205" i="2"/>
  <c r="J205" i="2" s="1"/>
  <c r="I205" i="2"/>
  <c r="L205" i="2"/>
  <c r="M205" i="2"/>
  <c r="C206" i="2"/>
  <c r="D206" i="2"/>
  <c r="E206" i="2"/>
  <c r="I206" i="2"/>
  <c r="J206" i="2"/>
  <c r="L206" i="2"/>
  <c r="N206" i="2" s="1"/>
  <c r="M206" i="2"/>
  <c r="C207" i="2"/>
  <c r="D207" i="2"/>
  <c r="E207" i="2"/>
  <c r="I207" i="2"/>
  <c r="J207" i="2"/>
  <c r="L207" i="2"/>
  <c r="N207" i="2" s="1"/>
  <c r="M207" i="2"/>
  <c r="C208" i="2"/>
  <c r="D208" i="2"/>
  <c r="E208" i="2"/>
  <c r="M208" i="2" s="1"/>
  <c r="N208" i="2" s="1"/>
  <c r="G208" i="2"/>
  <c r="L208" i="2" s="1"/>
  <c r="I208" i="2"/>
  <c r="J208" i="2" s="1"/>
  <c r="C209" i="2"/>
  <c r="D209" i="2"/>
  <c r="E209" i="2"/>
  <c r="L209" i="2" s="1"/>
  <c r="I209" i="2"/>
  <c r="J209" i="2" s="1"/>
  <c r="C210" i="2"/>
  <c r="D210" i="2"/>
  <c r="E210" i="2"/>
  <c r="I210" i="2"/>
  <c r="D211" i="2"/>
  <c r="E211" i="2"/>
  <c r="G211" i="2"/>
  <c r="H211" i="2"/>
  <c r="C212" i="2"/>
  <c r="D212" i="2"/>
  <c r="E212" i="2"/>
  <c r="L212" i="2" s="1"/>
  <c r="F212" i="2"/>
  <c r="I212" i="2"/>
  <c r="J212" i="2" s="1"/>
  <c r="C213" i="2"/>
  <c r="D213" i="2"/>
  <c r="E213" i="2"/>
  <c r="L213" i="2" s="1"/>
  <c r="I213" i="2"/>
  <c r="J213" i="2" s="1"/>
  <c r="C214" i="2"/>
  <c r="D214" i="2"/>
  <c r="E214" i="2"/>
  <c r="I214" i="2"/>
  <c r="M214" i="2"/>
  <c r="C215" i="2"/>
  <c r="D215" i="2"/>
  <c r="E215" i="2"/>
  <c r="M215" i="2" s="1"/>
  <c r="F215" i="2"/>
  <c r="I215" i="2"/>
  <c r="J215" i="2" s="1"/>
  <c r="I216" i="2"/>
  <c r="J216" i="2" s="1"/>
  <c r="L216" i="2"/>
  <c r="M216" i="2"/>
  <c r="E219" i="2"/>
  <c r="M219" i="2" s="1"/>
  <c r="G219" i="2"/>
  <c r="I219" i="2"/>
  <c r="J219" i="2" s="1"/>
  <c r="I220" i="2"/>
  <c r="J220" i="2" s="1"/>
  <c r="L220" i="2"/>
  <c r="M220" i="2"/>
  <c r="E221" i="2"/>
  <c r="L221" i="2" s="1"/>
  <c r="I221" i="2"/>
  <c r="J221" i="2" s="1"/>
  <c r="E222" i="2"/>
  <c r="I222" i="2"/>
  <c r="M222" i="2"/>
  <c r="L223" i="2"/>
  <c r="M223" i="2"/>
  <c r="E224" i="2"/>
  <c r="M224" i="2" s="1"/>
  <c r="G224" i="2"/>
  <c r="E225" i="2"/>
  <c r="I225" i="2"/>
  <c r="M225" i="2"/>
  <c r="E226" i="2"/>
  <c r="L226" i="2" s="1"/>
  <c r="I226" i="2"/>
  <c r="J226" i="2" s="1"/>
  <c r="E227" i="2"/>
  <c r="I227" i="2"/>
  <c r="M227" i="2"/>
  <c r="E228" i="2"/>
  <c r="L228" i="2" s="1"/>
  <c r="I228" i="2"/>
  <c r="E229" i="2"/>
  <c r="I229" i="2"/>
  <c r="E230" i="2"/>
  <c r="I230" i="2"/>
  <c r="J230" i="2" s="1"/>
  <c r="G233" i="2"/>
  <c r="H233" i="2"/>
  <c r="M233" i="2" s="1"/>
  <c r="G234" i="2"/>
  <c r="H234" i="2"/>
  <c r="M234" i="2" s="1"/>
  <c r="G235" i="2"/>
  <c r="L235" i="2" s="1"/>
  <c r="M235" i="2"/>
  <c r="I238" i="2"/>
  <c r="J238" i="2" s="1"/>
  <c r="L238" i="2"/>
  <c r="M238" i="2"/>
  <c r="M239" i="2" s="1"/>
  <c r="M226" i="2" l="1"/>
  <c r="N216" i="2"/>
  <c r="M212" i="2"/>
  <c r="N212" i="2" s="1"/>
  <c r="M192" i="2"/>
  <c r="L183" i="2"/>
  <c r="N183" i="2" s="1"/>
  <c r="L146" i="2"/>
  <c r="N146" i="2" s="1"/>
  <c r="L145" i="2"/>
  <c r="M144" i="2"/>
  <c r="M139" i="2"/>
  <c r="M138" i="2"/>
  <c r="J137" i="2"/>
  <c r="M136" i="2"/>
  <c r="N136" i="2" s="1"/>
  <c r="L115" i="2"/>
  <c r="N115" i="2" s="1"/>
  <c r="J98" i="2"/>
  <c r="M95" i="2"/>
  <c r="N95" i="2" s="1"/>
  <c r="J94" i="2"/>
  <c r="L39" i="2"/>
  <c r="N39" i="2" s="1"/>
  <c r="J27" i="2"/>
  <c r="M20" i="2"/>
  <c r="N20" i="2" s="1"/>
  <c r="N223" i="2"/>
  <c r="N213" i="2"/>
  <c r="N205" i="2"/>
  <c r="M213" i="2"/>
  <c r="J192" i="2"/>
  <c r="N188" i="2"/>
  <c r="L185" i="2"/>
  <c r="N185" i="2" s="1"/>
  <c r="J183" i="2"/>
  <c r="N156" i="2"/>
  <c r="J139" i="2"/>
  <c r="M123" i="2"/>
  <c r="J121" i="2"/>
  <c r="J115" i="2"/>
  <c r="N84" i="2"/>
  <c r="N82" i="2"/>
  <c r="M49" i="2"/>
  <c r="M41" i="2"/>
  <c r="N41" i="2" s="1"/>
  <c r="J39" i="2"/>
  <c r="L31" i="2"/>
  <c r="J28" i="2"/>
  <c r="J202" i="2"/>
  <c r="L193" i="2"/>
  <c r="N192" i="2"/>
  <c r="J185" i="2"/>
  <c r="N174" i="2"/>
  <c r="J166" i="2"/>
  <c r="J144" i="2"/>
  <c r="J136" i="2"/>
  <c r="L119" i="2"/>
  <c r="N119" i="2" s="1"/>
  <c r="J108" i="2"/>
  <c r="J83" i="2"/>
  <c r="J49" i="2"/>
  <c r="J41" i="2"/>
  <c r="J31" i="2"/>
  <c r="N193" i="2"/>
  <c r="N49" i="2"/>
  <c r="N13" i="2"/>
  <c r="N10" i="2"/>
  <c r="N235" i="2"/>
  <c r="J227" i="2"/>
  <c r="N187" i="2"/>
  <c r="I180" i="2"/>
  <c r="J180" i="2" s="1"/>
  <c r="I134" i="2"/>
  <c r="J134" i="2" s="1"/>
  <c r="N101" i="2"/>
  <c r="N57" i="2"/>
  <c r="N51" i="2"/>
  <c r="L26" i="2"/>
  <c r="L25" i="2"/>
  <c r="N25" i="2" s="1"/>
  <c r="N220" i="2"/>
  <c r="N198" i="2"/>
  <c r="J191" i="2"/>
  <c r="J188" i="2"/>
  <c r="N165" i="2"/>
  <c r="J153" i="2"/>
  <c r="M148" i="2"/>
  <c r="M98" i="2"/>
  <c r="N98" i="2" s="1"/>
  <c r="L94" i="2"/>
  <c r="J84" i="2"/>
  <c r="J82" i="2"/>
  <c r="J66" i="2"/>
  <c r="M27" i="2"/>
  <c r="J229" i="2"/>
  <c r="M229" i="2"/>
  <c r="M211" i="2"/>
  <c r="L211" i="2"/>
  <c r="M236" i="2"/>
  <c r="L194" i="2"/>
  <c r="M194" i="2"/>
  <c r="N169" i="2"/>
  <c r="M157" i="2"/>
  <c r="N157" i="2" s="1"/>
  <c r="M151" i="2"/>
  <c r="M147" i="2"/>
  <c r="L147" i="2"/>
  <c r="M116" i="2"/>
  <c r="M74" i="2"/>
  <c r="L74" i="2"/>
  <c r="M62" i="2"/>
  <c r="L52" i="2"/>
  <c r="M52" i="2"/>
  <c r="N31" i="2"/>
  <c r="I11" i="2"/>
  <c r="J11" i="2" s="1"/>
  <c r="L11" i="2"/>
  <c r="L197" i="2"/>
  <c r="J197" i="2"/>
  <c r="M197" i="2"/>
  <c r="J129" i="2"/>
  <c r="L129" i="2"/>
  <c r="L100" i="2"/>
  <c r="M100" i="2"/>
  <c r="M17" i="2"/>
  <c r="L239" i="2"/>
  <c r="N238" i="2"/>
  <c r="M228" i="2"/>
  <c r="I234" i="2"/>
  <c r="J234" i="2" s="1"/>
  <c r="L234" i="2"/>
  <c r="N234" i="2" s="1"/>
  <c r="L230" i="2"/>
  <c r="M230" i="2"/>
  <c r="J228" i="2"/>
  <c r="L224" i="2"/>
  <c r="N224" i="2" s="1"/>
  <c r="L214" i="2"/>
  <c r="N214" i="2" s="1"/>
  <c r="J214" i="2"/>
  <c r="M154" i="2"/>
  <c r="L154" i="2"/>
  <c r="J62" i="2"/>
  <c r="J53" i="2"/>
  <c r="L50" i="2"/>
  <c r="M50" i="2"/>
  <c r="N27" i="2"/>
  <c r="I233" i="2"/>
  <c r="J233" i="2" s="1"/>
  <c r="L233" i="2"/>
  <c r="J177" i="2"/>
  <c r="L177" i="2"/>
  <c r="N177" i="2" s="1"/>
  <c r="N228" i="2"/>
  <c r="L210" i="2"/>
  <c r="M210" i="2"/>
  <c r="L200" i="2"/>
  <c r="N200" i="2" s="1"/>
  <c r="I200" i="2"/>
  <c r="J200" i="2" s="1"/>
  <c r="M196" i="2"/>
  <c r="L196" i="2"/>
  <c r="J179" i="2"/>
  <c r="L179" i="2"/>
  <c r="N179" i="2" s="1"/>
  <c r="M168" i="2"/>
  <c r="N168" i="2" s="1"/>
  <c r="L161" i="2"/>
  <c r="M161" i="2"/>
  <c r="M140" i="2"/>
  <c r="N140" i="2" s="1"/>
  <c r="J140" i="2"/>
  <c r="J120" i="2"/>
  <c r="M120" i="2"/>
  <c r="L107" i="2"/>
  <c r="N107" i="2" s="1"/>
  <c r="M107" i="2"/>
  <c r="L72" i="2"/>
  <c r="M72" i="2"/>
  <c r="N62" i="2"/>
  <c r="N53" i="2"/>
  <c r="L48" i="2"/>
  <c r="M48" i="2"/>
  <c r="L30" i="2"/>
  <c r="N30" i="2" s="1"/>
  <c r="M30" i="2"/>
  <c r="N138" i="2"/>
  <c r="J125" i="2"/>
  <c r="J122" i="2"/>
  <c r="N59" i="2"/>
  <c r="M32" i="2"/>
  <c r="N29" i="2"/>
  <c r="J225" i="2"/>
  <c r="L204" i="2"/>
  <c r="N204" i="2" s="1"/>
  <c r="J196" i="2"/>
  <c r="M176" i="2"/>
  <c r="N176" i="2" s="1"/>
  <c r="J175" i="2"/>
  <c r="N172" i="2"/>
  <c r="M164" i="2"/>
  <c r="N163" i="2"/>
  <c r="M158" i="2"/>
  <c r="N158" i="2" s="1"/>
  <c r="J157" i="2"/>
  <c r="J154" i="2"/>
  <c r="M152" i="2"/>
  <c r="N152" i="2" s="1"/>
  <c r="J151" i="2"/>
  <c r="J147" i="2"/>
  <c r="L141" i="2"/>
  <c r="N141" i="2" s="1"/>
  <c r="N139" i="2"/>
  <c r="L130" i="2"/>
  <c r="N130" i="2" s="1"/>
  <c r="L126" i="2"/>
  <c r="N126" i="2" s="1"/>
  <c r="J116" i="2"/>
  <c r="M85" i="2"/>
  <c r="N85" i="2" s="1"/>
  <c r="J74" i="2"/>
  <c r="J68" i="2"/>
  <c r="L66" i="2"/>
  <c r="J32" i="2"/>
  <c r="N226" i="2"/>
  <c r="J222" i="2"/>
  <c r="L219" i="2"/>
  <c r="L215" i="2"/>
  <c r="N215" i="2" s="1"/>
  <c r="I211" i="2"/>
  <c r="J211" i="2" s="1"/>
  <c r="J210" i="2"/>
  <c r="L195" i="2"/>
  <c r="L186" i="2"/>
  <c r="N186" i="2" s="1"/>
  <c r="M184" i="2"/>
  <c r="N184" i="2" s="1"/>
  <c r="I176" i="2"/>
  <c r="J176" i="2" s="1"/>
  <c r="J161" i="2"/>
  <c r="J158" i="2"/>
  <c r="J156" i="2"/>
  <c r="J145" i="2"/>
  <c r="M149" i="2"/>
  <c r="J141" i="2"/>
  <c r="J138" i="2"/>
  <c r="N123" i="2"/>
  <c r="M121" i="2"/>
  <c r="N121" i="2" s="1"/>
  <c r="J107" i="2"/>
  <c r="J106" i="2"/>
  <c r="J102" i="2"/>
  <c r="J100" i="2"/>
  <c r="N90" i="2"/>
  <c r="M83" i="2"/>
  <c r="L73" i="2"/>
  <c r="N73" i="2" s="1"/>
  <c r="J52" i="2"/>
  <c r="J50" i="2"/>
  <c r="J48" i="2"/>
  <c r="J30" i="2"/>
  <c r="L28" i="2"/>
  <c r="N28" i="2" s="1"/>
  <c r="N26" i="2"/>
  <c r="N219" i="2"/>
  <c r="N195" i="2"/>
  <c r="L191" i="2"/>
  <c r="L155" i="2"/>
  <c r="N155" i="2" s="1"/>
  <c r="N94" i="2"/>
  <c r="L69" i="2"/>
  <c r="N69" i="2" s="1"/>
  <c r="I69" i="2"/>
  <c r="J69" i="2" s="1"/>
  <c r="I235" i="2"/>
  <c r="J235" i="2" s="1"/>
  <c r="L229" i="2"/>
  <c r="N229" i="2" s="1"/>
  <c r="L227" i="2"/>
  <c r="N227" i="2" s="1"/>
  <c r="L225" i="2"/>
  <c r="N225" i="2" s="1"/>
  <c r="I224" i="2"/>
  <c r="J224" i="2" s="1"/>
  <c r="L222" i="2"/>
  <c r="N222" i="2" s="1"/>
  <c r="M201" i="2"/>
  <c r="N201" i="2" s="1"/>
  <c r="J195" i="2"/>
  <c r="N182" i="2"/>
  <c r="M181" i="2"/>
  <c r="N181" i="2" s="1"/>
  <c r="M178" i="2"/>
  <c r="N178" i="2" s="1"/>
  <c r="N171" i="2"/>
  <c r="L166" i="2"/>
  <c r="N166" i="2" s="1"/>
  <c r="I164" i="2"/>
  <c r="J164" i="2" s="1"/>
  <c r="J155" i="2"/>
  <c r="N148" i="2"/>
  <c r="N144" i="2"/>
  <c r="J130" i="2"/>
  <c r="M125" i="2"/>
  <c r="M122" i="2"/>
  <c r="N117" i="2"/>
  <c r="N116" i="2"/>
  <c r="L108" i="2"/>
  <c r="M108" i="2"/>
  <c r="M96" i="2"/>
  <c r="J96" i="2"/>
  <c r="L96" i="2"/>
  <c r="I78" i="2"/>
  <c r="J78" i="2" s="1"/>
  <c r="M78" i="2"/>
  <c r="N78" i="2" s="1"/>
  <c r="N239" i="2"/>
  <c r="L203" i="2"/>
  <c r="N203" i="2" s="1"/>
  <c r="L202" i="2"/>
  <c r="N202" i="2" s="1"/>
  <c r="J201" i="2"/>
  <c r="J194" i="2"/>
  <c r="L180" i="2"/>
  <c r="N180" i="2" s="1"/>
  <c r="M180" i="2"/>
  <c r="M175" i="2"/>
  <c r="N175" i="2" s="1"/>
  <c r="M167" i="2"/>
  <c r="N167" i="2" s="1"/>
  <c r="J152" i="2"/>
  <c r="N145" i="2"/>
  <c r="L149" i="2"/>
  <c r="L125" i="2"/>
  <c r="N125" i="2" s="1"/>
  <c r="L122" i="2"/>
  <c r="N122" i="2" s="1"/>
  <c r="L75" i="2"/>
  <c r="M75" i="2"/>
  <c r="N66" i="2"/>
  <c r="N65" i="2"/>
  <c r="L70" i="2"/>
  <c r="L61" i="2"/>
  <c r="N61" i="2" s="1"/>
  <c r="M61" i="2"/>
  <c r="M47" i="2"/>
  <c r="L47" i="2"/>
  <c r="M36" i="2"/>
  <c r="L36" i="2"/>
  <c r="N129" i="2"/>
  <c r="L88" i="2"/>
  <c r="M88" i="2"/>
  <c r="M92" i="2" s="1"/>
  <c r="M221" i="2"/>
  <c r="N221" i="2" s="1"/>
  <c r="M209" i="2"/>
  <c r="N209" i="2" s="1"/>
  <c r="I182" i="2"/>
  <c r="J182" i="2" s="1"/>
  <c r="J181" i="2"/>
  <c r="J178" i="2"/>
  <c r="J167" i="2"/>
  <c r="L164" i="2"/>
  <c r="I148" i="2"/>
  <c r="J148" i="2" s="1"/>
  <c r="L134" i="2"/>
  <c r="N134" i="2" s="1"/>
  <c r="J133" i="2"/>
  <c r="L120" i="2"/>
  <c r="N120" i="2" s="1"/>
  <c r="L106" i="2"/>
  <c r="M106" i="2"/>
  <c r="M113" i="2" s="1"/>
  <c r="L97" i="2"/>
  <c r="N97" i="2" s="1"/>
  <c r="M97" i="2"/>
  <c r="L86" i="2"/>
  <c r="N83" i="2"/>
  <c r="N72" i="2"/>
  <c r="M67" i="2"/>
  <c r="M70" i="2" s="1"/>
  <c r="J67" i="2"/>
  <c r="M37" i="2"/>
  <c r="J37" i="2"/>
  <c r="L37" i="2"/>
  <c r="M24" i="2"/>
  <c r="M33" i="2" s="1"/>
  <c r="J24" i="2"/>
  <c r="L24" i="2"/>
  <c r="M22" i="2"/>
  <c r="I44" i="2"/>
  <c r="J44" i="2" s="1"/>
  <c r="L44" i="2"/>
  <c r="N44" i="2" s="1"/>
  <c r="N21" i="2"/>
  <c r="N15" i="2"/>
  <c r="I9" i="2"/>
  <c r="J9" i="2" s="1"/>
  <c r="J73" i="2"/>
  <c r="J72" i="2"/>
  <c r="M43" i="2"/>
  <c r="J43" i="2"/>
  <c r="N32" i="2"/>
  <c r="M102" i="2"/>
  <c r="N102" i="2" s="1"/>
  <c r="L99" i="2"/>
  <c r="N99" i="2" s="1"/>
  <c r="J97" i="2"/>
  <c r="L89" i="2"/>
  <c r="N89" i="2" s="1"/>
  <c r="J88" i="2"/>
  <c r="J85" i="2"/>
  <c r="N79" i="2"/>
  <c r="J75" i="2"/>
  <c r="J61" i="2"/>
  <c r="N58" i="2"/>
  <c r="J47" i="2"/>
  <c r="M46" i="2"/>
  <c r="N46" i="2" s="1"/>
  <c r="L43" i="2"/>
  <c r="M42" i="2"/>
  <c r="N42" i="2" s="1"/>
  <c r="J42" i="2"/>
  <c r="M38" i="2"/>
  <c r="N38" i="2" s="1"/>
  <c r="J38" i="2"/>
  <c r="J36" i="2"/>
  <c r="N19" i="2"/>
  <c r="L22" i="2"/>
  <c r="N9" i="2"/>
  <c r="M80" i="2" l="1"/>
  <c r="N154" i="2"/>
  <c r="N52" i="2"/>
  <c r="N194" i="2"/>
  <c r="M103" i="2"/>
  <c r="M63" i="2"/>
  <c r="N50" i="2"/>
  <c r="N74" i="2"/>
  <c r="N211" i="2"/>
  <c r="N43" i="2"/>
  <c r="N37" i="2"/>
  <c r="N67" i="2"/>
  <c r="N70" i="2" s="1"/>
  <c r="N47" i="2"/>
  <c r="M127" i="2"/>
  <c r="N230" i="2"/>
  <c r="N231" i="2" s="1"/>
  <c r="N100" i="2"/>
  <c r="L142" i="2"/>
  <c r="M142" i="2"/>
  <c r="N48" i="2"/>
  <c r="N161" i="2"/>
  <c r="N196" i="2"/>
  <c r="N210" i="2"/>
  <c r="N197" i="2"/>
  <c r="N147" i="2"/>
  <c r="N149" i="2" s="1"/>
  <c r="N86" i="2"/>
  <c r="M86" i="2"/>
  <c r="N233" i="2"/>
  <c r="N236" i="2" s="1"/>
  <c r="L236" i="2"/>
  <c r="N11" i="2"/>
  <c r="N17" i="2" s="1"/>
  <c r="L17" i="2"/>
  <c r="N151" i="2"/>
  <c r="N159" i="2" s="1"/>
  <c r="M159" i="2"/>
  <c r="N164" i="2"/>
  <c r="L189" i="2"/>
  <c r="N127" i="2"/>
  <c r="L103" i="2"/>
  <c r="N22" i="2"/>
  <c r="M217" i="2"/>
  <c r="L63" i="2"/>
  <c r="N24" i="2"/>
  <c r="L33" i="2"/>
  <c r="N106" i="2"/>
  <c r="L113" i="2"/>
  <c r="N88" i="2"/>
  <c r="L92" i="2"/>
  <c r="N96" i="2"/>
  <c r="N103" i="2" s="1"/>
  <c r="N108" i="2"/>
  <c r="L231" i="2"/>
  <c r="M231" i="2"/>
  <c r="M189" i="2"/>
  <c r="M54" i="2"/>
  <c r="N142" i="2"/>
  <c r="N75" i="2"/>
  <c r="L127" i="2"/>
  <c r="N63" i="2"/>
  <c r="L80" i="2"/>
  <c r="N36" i="2"/>
  <c r="L54" i="2"/>
  <c r="N191" i="2"/>
  <c r="L217" i="2"/>
  <c r="L159" i="2"/>
  <c r="M240" i="2" l="1"/>
  <c r="L240" i="2"/>
  <c r="N217" i="2"/>
  <c r="N189" i="2"/>
  <c r="N92" i="2"/>
  <c r="N33" i="2"/>
  <c r="N80" i="2"/>
  <c r="N54" i="2"/>
  <c r="N113" i="2"/>
  <c r="N240" i="2" l="1"/>
</calcChain>
</file>

<file path=xl/sharedStrings.xml><?xml version="1.0" encoding="utf-8"?>
<sst xmlns="http://schemas.openxmlformats.org/spreadsheetml/2006/main" count="518" uniqueCount="346">
  <si>
    <t>.</t>
  </si>
  <si>
    <t>TRIUNFO, 23 DE AGOSTO DE 2022.</t>
  </si>
  <si>
    <t xml:space="preserve">  - Nome do Responsável: Fernando Azeredo Coutinho</t>
  </si>
  <si>
    <t xml:space="preserve">  - BDI: 23,87%</t>
  </si>
  <si>
    <t xml:space="preserve">  - Encargos: 111,22%</t>
  </si>
  <si>
    <t xml:space="preserve">  - Código: PCI.818.01</t>
  </si>
  <si>
    <t xml:space="preserve">  - Data base de referência: SINAPI 12/07/2022</t>
  </si>
  <si>
    <t>Observações:</t>
  </si>
  <si>
    <t>TOTAL DO ORÇAMENTO:</t>
  </si>
  <si>
    <t>SUBTOTAL ITEM 19:</t>
  </si>
  <si>
    <t>m2</t>
  </si>
  <si>
    <t xml:space="preserve">LIMPEZA FINAL DE OBRA </t>
  </si>
  <si>
    <t>18.1</t>
  </si>
  <si>
    <t>LIMPEZA</t>
  </si>
  <si>
    <t xml:space="preserve">UN </t>
  </si>
  <si>
    <t xml:space="preserve">PAR DE ESTRUTURAS PARA TABELA DE BASQUETE EM TRELIÇA METÁLICA FIXADA NO PISO INCLUSO + PAR DE TABELAS DE BASQUETE DE COMPENSADO NAVAL, COM AROS E REDES - FORNECIMENTO E INSTALAÇÃO.. </t>
  </si>
  <si>
    <t>18.3</t>
  </si>
  <si>
    <t>CONJUNTO PARA FUTSAL COM TRAVES OFICIAIS DE 3,00 X 2,00 M EM TUBO DE ACO GALVANIZADO 3" COM REQUADRO EM TUBO DE 1", PINTURA EM PRIMER COM TINTA
ESMALTE SINTETICO E REDES DE POLIETILENO FIO 4 MM</t>
  </si>
  <si>
    <t>18.2</t>
  </si>
  <si>
    <t>CONJUNTO PARA QUADRA DE VOLEI COM POSTES EM TUBO DE ACO GALVANIZADO 3",  PINTURA EM TINTA ESMALTE SINTETICO, REDE DE NYLON COM 2 MM, MALHA 10 X 10 CM E ANTENAS OFICIAIS EM FIBRA DE VIDRO</t>
  </si>
  <si>
    <t>EQUIPAMENTOS</t>
  </si>
  <si>
    <t>SUBTOTAL ITEM 18:</t>
  </si>
  <si>
    <t>m</t>
  </si>
  <si>
    <t>PINTURA DE DEMARCAÇÃO DE QUADRA POLIESPORTIVA COM BORRACHA CLORADA, E = 5CM, APLICAÇÃO MANUAL.</t>
  </si>
  <si>
    <t>18.12</t>
  </si>
  <si>
    <t>PINTURA DE PISO COM TINTA EPÓXI, APLICAÇÃO MANUAL, 2 DEMÃOS, INCLUSO PRIMER EPÓXI.</t>
  </si>
  <si>
    <t>18.11</t>
  </si>
  <si>
    <t>EXECUÇÃO DE JUNTAS DE CONTRAÇÃO PARA PAVIMENTOS DE CONCRETO.</t>
  </si>
  <si>
    <t>18.10</t>
  </si>
  <si>
    <t>ACABAMENTO POLIDO PARA PISO DE CONCRETO ARMADO OU LAJE SOBRE SOLO DE ALTA RESISTÊNCIA.</t>
  </si>
  <si>
    <t>18.9</t>
  </si>
  <si>
    <t>EXECUÇÃO DE LAJE SOBRE SOLO, ESPESSURA DE 10 CM, FCK = 30 MPA, COM USO DE FORMAS EM MADEIRA SERRADA, COM LASTRO DE BRITA DE 10CM, COMPACTAÇÃO MECANICA DE SOLO, ARMADURA COM TELA Q-113 E APLICAÇÃO DE LONA PLÁSTICA</t>
  </si>
  <si>
    <t>18.8</t>
  </si>
  <si>
    <t xml:space="preserve">ALAMBRADO PARA QUADRA POLIESPORTIVA, ESTRUTURADO POR TUBOS DE ACO GALVANIZ M2
ADO, (MONTANTES COM DIAMETRO 2", TRAVESSAS E ESCORAS COM DIÂMETRO 1 ¼), COM TELA DE ARAME GALVANIZADO, FIO 10 BWG E MALHA QUADRADA 5X5CM </t>
  </si>
  <si>
    <t>18.7</t>
  </si>
  <si>
    <t>ALVENARIA DE VEDAÇÃO DE BLOCOS VAZADOS DE CONCRETO DE 14X19X39 CM (ESPESSURA 14 CM) E ARGAMASSA DE ASSENTAMENTO COM PREPARO EM BETONEIRA.</t>
  </si>
  <si>
    <t>18.6</t>
  </si>
  <si>
    <t>m3</t>
  </si>
  <si>
    <t>CONCRETAGEM DE BLOCOS DE COROAMENTO E VIGAS BALDRAME, FCK 30 MPA, COM USO DE JERICA LANÇAMENTO, ADENSAMENTO E ACABAMENTO.</t>
  </si>
  <si>
    <t>18.5</t>
  </si>
  <si>
    <t>kg</t>
  </si>
  <si>
    <t>ARMAÇÃO DE BLOCO, VIGA BALDRAME OU SAPATA UTILIZANDO AÇO CA-50 DE 8 MM - MONTAGEM.</t>
  </si>
  <si>
    <t>18.4</t>
  </si>
  <si>
    <t>FABRICAÇÃO, MONTAGEM E DESMONTAGEM DE FÔRMA PARA VIGA BALDRAME, EM MADEIRA SERRADA, E=25 MM, 4 UTILIZAÇÕES. (base alambrado)</t>
  </si>
  <si>
    <t>LIMPEZA MECANIZADA DE CAMADA VEGETAL</t>
  </si>
  <si>
    <t>ESCAVAÇÃO MECANIZADA PARA BLOCO DE COROAMENTO OU SAPATA, COM PREVISÃO DE FÔRMA, COM RETROESCAVADEIRA.</t>
  </si>
  <si>
    <t>QUADRA DE VOLEI</t>
  </si>
  <si>
    <t>SUBTOTAL ITEM 17:</t>
  </si>
  <si>
    <t>ESCADA EM CONCRETO ARMADO MOLDADO IN LOCO, FCK 20 MPA, COM 1 LANCE E LAJE PLANA, FÔRMA EM CHAPA DE MADEIRA COMPENSADA RESINADA.</t>
  </si>
  <si>
    <t>16.26</t>
  </si>
  <si>
    <t>16.25</t>
  </si>
  <si>
    <t>16.24</t>
  </si>
  <si>
    <t>16.23</t>
  </si>
  <si>
    <t>16.22</t>
  </si>
  <si>
    <t>CP-17</t>
  </si>
  <si>
    <t>16.21</t>
  </si>
  <si>
    <t>16.20</t>
  </si>
  <si>
    <t>16.19</t>
  </si>
  <si>
    <t>16.18</t>
  </si>
  <si>
    <t>16.17</t>
  </si>
  <si>
    <t>16.16</t>
  </si>
  <si>
    <t>16.15</t>
  </si>
  <si>
    <t>16.14</t>
  </si>
  <si>
    <t>16.13</t>
  </si>
  <si>
    <t>m3xkm</t>
  </si>
  <si>
    <t>16.12</t>
  </si>
  <si>
    <t>16.11</t>
  </si>
  <si>
    <t>16.10</t>
  </si>
  <si>
    <t>16.9</t>
  </si>
  <si>
    <t>16.8</t>
  </si>
  <si>
    <t>16.7</t>
  </si>
  <si>
    <t>16.6</t>
  </si>
  <si>
    <t>16.5</t>
  </si>
  <si>
    <t>16.4</t>
  </si>
  <si>
    <t>16.3</t>
  </si>
  <si>
    <t>16.2</t>
  </si>
  <si>
    <t>16.1</t>
  </si>
  <si>
    <t>RAMPA ACESSÍVEL E ESCADARIA</t>
  </si>
  <si>
    <t>SUBTOTAL ITEM 16:</t>
  </si>
  <si>
    <t>POSTE DE CONCRETO ARMADO DE SECAO CIRCULAR, EXTENSAO DE 11,00 M, RESISTENCIA DE 200 A 300 DAN, PARA ENTRADA DE ENERGIA TRIFÁSICA</t>
  </si>
  <si>
    <t>16.29</t>
  </si>
  <si>
    <t>POSTE CONICO CONTINUO EM ACO GALVANIZADO, RETO, FLANGEADO, H = 3 M, DIAMETRO INFERIOR = *95* MM</t>
  </si>
  <si>
    <t>16.28</t>
  </si>
  <si>
    <t>BLOCO CONCRETADO NO LOCAL, 20X20X15CM, PARA BASE DE FIXAÇÃO DE POSTE DE CONCRETO.</t>
  </si>
  <si>
    <t>16.27</t>
  </si>
  <si>
    <t>ASSENTAMENTO DE POSTE DE CONCRETO COM COMPRIMENTO NOMINAL DE 9 M, CARGA NOMINAL MENOR OU IGUAL A 1000 DAN, ENGASTAMENTO SIMPLES COM 1,5 M DE SOLO (NÃO INCLUI FORNECIMENTO).</t>
  </si>
  <si>
    <t>LUVA PARA ELETRODUTO, PVC, ROSCÁVEL, DN 25 MM (3/4"), PARA CIRCUITOS TERMINAIS, INSTALADA EM FORRO - FORNECIMENTO E INSTALAÇÃO. AF_12/2015</t>
  </si>
  <si>
    <t>91875</t>
  </si>
  <si>
    <t>FIXAÇÃO DE TUBOS VERTICAIS DE PPR DIÂMETROS MENORES OU IGUAIS A 40 MM COM ABRAÇADEIRA METÁLICA RÍGIDA TIPO D 1/2", FIXADA EM PERFILADO EM ALVENARIA.</t>
  </si>
  <si>
    <t>REFLETOR DE LED PARA ILUMINAÇÃO DE QUADRA - FORNECIMENTO E INSTALAÇÃO</t>
  </si>
  <si>
    <t>CP-16</t>
  </si>
  <si>
    <t>LUMINÁRIA TIPO PLAFON CIRCULAR, DE SOBREPOR, COM LED DE 12/13 W - FORNECIMENTO E INSTALAÇÃO.</t>
  </si>
  <si>
    <t>CAIXA DE INSPEÇÃO ELÉTRICA CONFORME PROJETO</t>
  </si>
  <si>
    <t>CP-15</t>
  </si>
  <si>
    <t>FIXAÇÃO DE REFLETORES DE QUADRA UTILIZANDO CANTONEIRAS E CHAPA DE BASE DE AÇO</t>
  </si>
  <si>
    <t xml:space="preserve">RELÉ FOTOELÉTRICO PARA COMANDO DE ILUMINAÇÃO EXTERNA 1000 W - FORNECIMENTO E INSTALAÇÃO. </t>
  </si>
  <si>
    <t>ELETRODUTO RÍGIDO ROSCÁVEL, PVC, DN 32 MM (1"), PARA SUBIDA NOS PILARES</t>
  </si>
  <si>
    <t xml:space="preserve">CABO CABO MULTIPOLAR DE COBRE, FLEXIVEL, CLASSE 4 OU 5, ISOLACAO EM HEPR, COBERTURA EM PVC-ST2, ANTICHAMA BWF-B, 0,6/1 KV, 3 CONDUTORES DE 4 MM2 PARA CIRCUITOS TERMINAIS - FORNECIMENTO E INSTALAÇÃO. </t>
  </si>
  <si>
    <t xml:space="preserve">CABO CABO MULTIPOLAR DE COBRE, FLEXIVEL, CLASSE 4 OU 5, ISOLACAO EM HEPR, COBERTURA EM PVC-ST2, ANTICHAMA BWF-B, 0,6/1 KV, 3 CONDUTORES DE 2,5 MM2 PARA CIRCUITOS TERMINAIS - FORNECIMENTO E INSTALAÇÃO. </t>
  </si>
  <si>
    <t>CP-14</t>
  </si>
  <si>
    <t>QUADRO DE DISTRIBUIÇÃO DE ENERGIA EM CHAPA DE AÇO GALVANIZADO, DE EMBUTIR, COM BARRAMENTO TRIFÁSICO, PARA 12 DISJUNTORES DIN 100A - FORNECIMENTO E INSTALAÇÃO. AF_10/2020</t>
  </si>
  <si>
    <t>DISJUNTOR TRIPOLAR TIPO DIN, CORRENTE NOMINAL DE 40A - FORNECIMENTO E INSTALAÇÃO.</t>
  </si>
  <si>
    <t>DISJUNTOR TRIPOLAR TIPO DIN, CORRENTE NOMINAL DE 25A - FORNECIMENTO E INSTALAÇÃO.</t>
  </si>
  <si>
    <t>DISJUNTOR TRIPOLAR TIPO DIN, CORRENTE NOMINAL DE 20A - FORNECIMENTO E INSTALAÇÃO.</t>
  </si>
  <si>
    <t>DISJUNTOR TRIPOLAR TIPO DIN, CORRENTE NOMINAL DE 16A - FORNECIMENTO E INSTALAÇÃO.</t>
  </si>
  <si>
    <t>TOMADA BAIXA DE EMBUTIR (1 MÓDULO), 2P+T 10 A, SEM SUPORTE E SEM PLACA - FORNECIMENTO E INSTALAÇÃO.</t>
  </si>
  <si>
    <t>CABO DE COBRE FLEXÍVEL ISOLADO, 2,5 MM², ANTI-CHAMA 450/750 V, PARA CIRCUITOS TERMINAIS - FORNECIMENTO E INSTALAÇÃO. (TOMADAS)</t>
  </si>
  <si>
    <t>CABO DE COBRE FLEXÍVEL ISOLADO, 1,5 MM², ANTI-CHAMA 450/750 V, PARA CIRCUITOS TERMINAIS - FORNECIMENTO E INSTALAÇÃO. (ILUMINAÇÃO)</t>
  </si>
  <si>
    <t>CP-13</t>
  </si>
  <si>
    <t>ELETRODUTO FLEXÍVEL CORRUGADO, PEAD, DN 50 (1 1/2"), PARA REDE ENTERRADA DE DISTRIBUIÇÃO DE ENERGIA ELÉTRICA - FORNECIMENTO E INSTALAÇÃO.</t>
  </si>
  <si>
    <t>CABO MULTIPOLAR DE COBRE, FLEXIVEL, CLASSE 4 OU 5, ISOLACAO EM HEPR, COBERTURA EM PVC-ST2, ANTICHAMA BWF-B, 0,6/1 KV, 3 CONDUTORES DE 10 MM2 - FORNECIMENTO E INSTALAÇÃO</t>
  </si>
  <si>
    <t>CP-12</t>
  </si>
  <si>
    <t>PONTO DE ILUMINAÇÃO RESIDENCIAL INCLUINDO INTERRUPTOR SIMPLES (2 MÓDULOS), CAIXA ELÉTRICA, ELETRODUTO, CABO, RASGO, QUEBRA E CHUMBAMENTO (EXCLUINDO LUMINÁRIA E LÂMPADA).</t>
  </si>
  <si>
    <t>PONTO DE TOMADA RESIDENCIAL INCLUINDO TOMADA (2 MÓDULOS) 10A/250V, CAIXA ELÉTRICA, ELETRODUTO, CABO, RASGO, QUEBRA E CHUMBAMENTO.</t>
  </si>
  <si>
    <t>ESCAVAÇÃO MANUAL DE VALA P/ PASSAGEM DE ELETRODUTO</t>
  </si>
  <si>
    <t>INSTALAÇÕES ELÉTRICAS</t>
  </si>
  <si>
    <t>SUBTOTAL ITEM 15:</t>
  </si>
  <si>
    <t>15.8</t>
  </si>
  <si>
    <t>SUMIDOURO CIRCULAR OU RETANGULAR. DIÂMETRO INTERNO = 2,38 M, ALTURA INTERNA = 3,0 M, ÁREA DE INFILTRAÇÃO: 25 M²</t>
  </si>
  <si>
    <t>15.7</t>
  </si>
  <si>
    <t xml:space="preserve">FILTRO ANAERÓBIO CIRCULAR, EM CONCRETO PRÉ-MOLDADO, DIÂMETRO INTERNO = 1,88M, ALTURA INTERNA = 1,50 M, VOLUME ÚTIL: 3331,1 L </t>
  </si>
  <si>
    <t>15.6</t>
  </si>
  <si>
    <t xml:space="preserve">TANQUE SÉPTICO CIRCULAR, EM CONCRETO PRÉ-MOLDADO, DIÂMETRO INTERNO = 1,40 M, ALTURA INTERNA = 2,50 M, VOLUME ÚTIL: 3463,6 L </t>
  </si>
  <si>
    <t>15.5</t>
  </si>
  <si>
    <t>15.4</t>
  </si>
  <si>
    <t>15.3</t>
  </si>
  <si>
    <t>15.2</t>
  </si>
  <si>
    <t>15.1</t>
  </si>
  <si>
    <t>INSTALAÇÕES HIDROSSANITÁRIAS - ESGOTO</t>
  </si>
  <si>
    <t>SUBTOTAL ITEM 14:</t>
  </si>
  <si>
    <t>CP-11</t>
  </si>
  <si>
    <t>14.3</t>
  </si>
  <si>
    <t>KIT CAVALETE PARA MEDIÇÃO DE ÁGUA - ENTRADA PRINCIPAL, EM PVC SOLDÁVEL DN UN
20 (½") FORNECIMENTO E INSTALAÇÃO (EXCLUSIVE HIDRÔMETRO).</t>
  </si>
  <si>
    <t>CP-10</t>
  </si>
  <si>
    <t>14.2</t>
  </si>
  <si>
    <t>INSTALAÇÕES HIDROSSANITÁRIAS - ÁGUA FRIA</t>
  </si>
  <si>
    <t>SUBTOTAL ITEM 13:</t>
  </si>
  <si>
    <t>13.13</t>
  </si>
  <si>
    <t>13.12</t>
  </si>
  <si>
    <t>13.11</t>
  </si>
  <si>
    <t>BARRA DE APOIO RETA, EM ACO INOX POLIDO, COMPRIMENTO 80 CM, FIXADA NA PAREDE PARA LAVATÓRIO - FORNECIMENTO E INSTALAÇÃO.</t>
  </si>
  <si>
    <t>13.10</t>
  </si>
  <si>
    <t>13.9</t>
  </si>
  <si>
    <t>13.8</t>
  </si>
  <si>
    <t>13.7</t>
  </si>
  <si>
    <t xml:space="preserve">BANCADA GRANITO CINZA COM ACABAMENTOS, TAMANHO DE 50 X 200 CM, INCL. CUBA DE EMBUTIR OVAL LOUÇA BRANCA 35 X 50 CM, VÁLVULA METAL CROMADO, SIFÃO FLEXÍVEL PVC, ENGATE 30 CM FLEXÍVEL PLÁSTICO E TORNEIRA CROMADA DE MESA, PADRÃO POPULAR - FORNEC. E INSTALAÇÃO. </t>
  </si>
  <si>
    <t>CP-9</t>
  </si>
  <si>
    <t>13.6</t>
  </si>
  <si>
    <t>13.5</t>
  </si>
  <si>
    <t>13.4</t>
  </si>
  <si>
    <t>13.3</t>
  </si>
  <si>
    <t>13.2</t>
  </si>
  <si>
    <t>13.1</t>
  </si>
  <si>
    <t>INSTALAÇÕES HIDROSSANITÁRIAS</t>
  </si>
  <si>
    <t>SUBTOTAL ITEM 12:</t>
  </si>
  <si>
    <t>TRANSPORTE COM CAMINHÃO BASCULANTE DE 18 M³, EM VIA URBANA PAVIMENTADA, DMT ATÉ 30 KM (UNIDADE: M3XKM).</t>
  </si>
  <si>
    <t>12.12</t>
  </si>
  <si>
    <t>REATERRO MANUAL APILOADO COM SOQUETE</t>
  </si>
  <si>
    <t>12.11</t>
  </si>
  <si>
    <t>12.10</t>
  </si>
  <si>
    <t xml:space="preserve">ESCAVAÇÃO MANUAL DE VALA COM PROFUNDIDADE MENOR OU IGUAL A 1,30 M. </t>
  </si>
  <si>
    <t>12.9</t>
  </si>
  <si>
    <t>CANALETA MEIA CANA PRÉ-MOLDADA DE CONCRETO (D = 30 CM) - FORNECIMENTO E INSTALAÇÃO.</t>
  </si>
  <si>
    <t>12.7</t>
  </si>
  <si>
    <t>ASSENTAMENTO DE TUBO DE CONCRETO PARA REDES COLETORAS DE ÁGUAS PLUVIAIS, DIÂMETRO DE 300 MM, JUNTA RÍGIDA, INSTALADO EM LOCAL COM BAIXO NÍVEL DE INTERFERÊNCIAS (NÃO INCLUI FORNECIMENTO).</t>
  </si>
  <si>
    <t>12.8</t>
  </si>
  <si>
    <t>TUBO DE CONCRETO SIMPLES PARA AGUAS PLUVIAIS, CLASSE PS1, COM ENCAIXE MACHO E FEMEA, DIAMETRO NOMINAL DE 300 MM</t>
  </si>
  <si>
    <t>12.6</t>
  </si>
  <si>
    <t>UN</t>
  </si>
  <si>
    <t>CAIXA ENTERRADA HIDRÁULICA RETANGULAR, EM ALVENARIA COM BLOCOS DE CONCRETO, DIMENSÕES INTERNAS: 0,6X0,6X0,6 M PARA REDE DE ESGOTO.</t>
  </si>
  <si>
    <t>12.5</t>
  </si>
  <si>
    <t xml:space="preserve">GRELHA DE FERRO FUNDIDO SIMPLES COM REQUADRO, 200 X 1000 MM, ASSENTADA COM ARGAMASSA 1 : 3 CIMENTO: AREIA - FORNECIMENTO E INSTALAÇÃO. </t>
  </si>
  <si>
    <t>12.4</t>
  </si>
  <si>
    <t>TUBOS DE PVC, SÉRIE R, ÁGUA PLUVIAL, DN 100 MM (INSTALADO EM RAMAL DE ENCAMINHAMENTO, OU CONDUTORES VERTICAIS), INCLUSIVE CONEXÕES, CORTES E FIXAÇÕES, PARA PRÉDIOS.</t>
  </si>
  <si>
    <t>12.3</t>
  </si>
  <si>
    <t>12.2</t>
  </si>
  <si>
    <t>12.1</t>
  </si>
  <si>
    <t>SUBTOTAL ITEM 11:</t>
  </si>
  <si>
    <t>11.6</t>
  </si>
  <si>
    <t>LIMPEZA DE SUPERFÍCIE COM JATO DE ALTA PRESSÃO.</t>
  </si>
  <si>
    <t>11.5</t>
  </si>
  <si>
    <t>11.4</t>
  </si>
  <si>
    <t>QUADRA EXISTENTE</t>
  </si>
  <si>
    <t>11.3</t>
  </si>
  <si>
    <t>11.2</t>
  </si>
  <si>
    <t>11.1</t>
  </si>
  <si>
    <t>PINTURA INTERNA E EXTERNA</t>
  </si>
  <si>
    <t>SUBTOTAL ITEM 10:</t>
  </si>
  <si>
    <t>PINTURA DE PISO COM TINTA ACRÍLICA, APLICAÇÃO MANUAL, 2 DEMÃOS, INCLUSO FUNDO PREPARADOR.</t>
  </si>
  <si>
    <t>10.7</t>
  </si>
  <si>
    <t>10.8</t>
  </si>
  <si>
    <t>PISO DE CONCRETO COM CONCRETO MOLDADO IN LOCO, FEITO EM OBRA, ACABAMENTO CONVENCIONAL, ESPESSURA 10 CM, ARMADO.</t>
  </si>
  <si>
    <t>10.6</t>
  </si>
  <si>
    <t>REVESTIMENTO CERÂMICO PARA PISO COM PLACAS TIPO ESMALTADA EXTRA DE DIMENSÕES 60X60 CM APLICADA EM AMBIENTES DE ÁREA MAIOR QUE 10 M2.</t>
  </si>
  <si>
    <t>10.5</t>
  </si>
  <si>
    <t>PISO EM CONCRETO COM CONCRETO USINADO OU MOLDADO IN LOCO ACABAMENTO VASSORADO COM BORDAS ALISADAS, CONFORME ESPECIFICADO EM MEMORIAL DESCRITIVO</t>
  </si>
  <si>
    <t>CP-8</t>
  </si>
  <si>
    <t>10.4</t>
  </si>
  <si>
    <t>CONTRAPISO EM ARGAMASSA TRAÇO 1:4 (CIMENTO E AREIA), PREPARO MECÂNICO COM BETONEIRA 400 L, APLICADO EM ÁREAS SECAS SOBRE LAJE, ADERIDO, ESPESSURA 2CM. AF_06/2014</t>
  </si>
  <si>
    <t>10.3</t>
  </si>
  <si>
    <t>LASTRO COM MATERIAL GRANULAR, APLICADO EM PISOS OU LAJES SOBRE SOLO, ESPESSURA DE *5 CM*.</t>
  </si>
  <si>
    <t>10.2</t>
  </si>
  <si>
    <t>REATERRO MANUAL DE VALAS COM COMPACTAÇÃO MECANIZADA.</t>
  </si>
  <si>
    <t>10.1</t>
  </si>
  <si>
    <t>PISOS</t>
  </si>
  <si>
    <t>SUBTOTAL ITEM 9:</t>
  </si>
  <si>
    <t>9.4</t>
  </si>
  <si>
    <t>9.3</t>
  </si>
  <si>
    <t>9.2</t>
  </si>
  <si>
    <t>9.1</t>
  </si>
  <si>
    <t>REVESTIMENTOS</t>
  </si>
  <si>
    <t>SUBTOTAL ITEM 8:</t>
  </si>
  <si>
    <t>INSTALAÇÃO DE TESOURA (INTEIRA OU MEIA), EM AÇO, PARA VÃOS MAIORES OU IGUAIS A 3,0 M E MENORES QUE 6,0 M, INCLUSO IÇAMENTO.</t>
  </si>
  <si>
    <t>8.4</t>
  </si>
  <si>
    <t xml:space="preserve">TELHAMENTO COM TELHA ONDULADA DE FIBRA DE VIDRO E = 0,6 MM, PARA TELHADO COM INCLINAÇÃO MAIOR QUE 10°, COM ATÉ 2 ÁGUAS, INCLUSO IÇAMENTO. </t>
  </si>
  <si>
    <t>8.3</t>
  </si>
  <si>
    <t>TELHAMENTO COM TELHA DE AÇO/ALUMÍNIO E = 0,5 MM, COM ATÉ 2 ÁGUAS, INCLUSO IÇAMENTO.</t>
  </si>
  <si>
    <t>8.2</t>
  </si>
  <si>
    <t>TRAMA DE AÇO COMPOSTA POR TERÇAS PARA TELHADOS DE ATÉ 2 ÁGUAS PARA TELHA ESTRUTURAL DE FIBROCIMENTO, INCLUSO TRANSPORTE VERTICAL.</t>
  </si>
  <si>
    <t>8.1</t>
  </si>
  <si>
    <t>COBERTURAS E PROTEÇÃO</t>
  </si>
  <si>
    <t>SUBTOTAL ITEM 7:</t>
  </si>
  <si>
    <t>GRADIL EM PORTÃO DE FERRO PARA VÃOS ENTRE ALVENARIA NA FACHADA DO PRÉDIO</t>
  </si>
  <si>
    <t>7.8</t>
  </si>
  <si>
    <t>PORTAO DE CORRER EM GRADIL COM PORTA DE ACESSO, COMPLETOI INCLUIDA, COM REQUADRO, COM ACABAMENTO EM PINTURA, COM TRILHOS E ROLDANAS</t>
  </si>
  <si>
    <t>7.13</t>
  </si>
  <si>
    <t>7.12</t>
  </si>
  <si>
    <t>ACABAMENTOS PARA ESQUADRIAS GUARNIÇÃO / ALIZAR / VISTA EM ALUMINIO ACABAMENTO ANODIZADO BRANCO ACETATO OU BRILHANTE</t>
  </si>
  <si>
    <t>CP-7</t>
  </si>
  <si>
    <t>7.11</t>
  </si>
  <si>
    <t>PORTA EM ALUMÍNIO DE ABRIR TIPO VENEZIANA ACABAMENTO COM PINTURA ELETROESTÁTICA BRANCA, COM GUARNIÇÃO, FIXAÇÃO COM PARAFUSOS - FORNECIMENTO E INSTALAÇÃO.</t>
  </si>
  <si>
    <t>7.10</t>
  </si>
  <si>
    <t>7.9</t>
  </si>
  <si>
    <t>7.2</t>
  </si>
  <si>
    <t>7.1</t>
  </si>
  <si>
    <t>ESQUADRIAS</t>
  </si>
  <si>
    <t>SUBTOTAL ITEM 6:</t>
  </si>
  <si>
    <t>6.5</t>
  </si>
  <si>
    <t>6.4</t>
  </si>
  <si>
    <t>6.3</t>
  </si>
  <si>
    <t>6.2</t>
  </si>
  <si>
    <t>6.1</t>
  </si>
  <si>
    <t>PAREDES E PAINEIS</t>
  </si>
  <si>
    <t>SUBTOTAL ITEM 5:</t>
  </si>
  <si>
    <t>H</t>
  </si>
  <si>
    <t>ENGENHEIRO CIVIL DE OBRA JUNIOR COM ENCARGOS COMPLEMENTARES</t>
  </si>
  <si>
    <t>5.7</t>
  </si>
  <si>
    <t>LAJE PRÉ-MOLDADA UNIDIRECIONAL, BIAPOIADA, PARA FORRO, ENCHIMENTO EM CERÂMICA, VIGOTA CONVENCIONAL, ALTURA TOTAL DA LAJE (ENCHIMENTO+CAPA) = (8+3).</t>
  </si>
  <si>
    <t>5.6</t>
  </si>
  <si>
    <t xml:space="preserve">FECHAMENTO EM TELHA DE AÇO/ALUMINIO E=0,5MM </t>
  </si>
  <si>
    <t>5.5</t>
  </si>
  <si>
    <t>ESTRUTURA DE FIXAÇÃO DAS TELHAS METÁLICAS COM PERFIL U SIMPLES E LIGAÇÕES PARAFUSADAS, INCLUSOS PERFIS METÁLICOS, CHAPAS METÁLICAS, MÃO DE OBRA E TRANSPORTE COM GUINDASTE - FORNECIMENTO E INSTALAÇÃO</t>
  </si>
  <si>
    <t>CP-6</t>
  </si>
  <si>
    <t>5.4</t>
  </si>
  <si>
    <t>ESTRUTURA TRELIÇADA DE COBERTURA PARA FECHAMENTO LATERAL DE QUADRA, COM LIGAÇÕES PARAFUSADAS, INCLUSOS PERFIS METÁLICOS, CHAPAS METÁLICAS, MÃO DE OBRA E TRANSPORTE COM GUINDASTE - FORNECIMENTO E INSTALAÇÃO</t>
  </si>
  <si>
    <t>5.3</t>
  </si>
  <si>
    <t>PILAR METÁLICO PERFIL LAMINADO/SOLDADO EM AÇO ESTRUTURAL, COM CONEXÕES PARAFUSADAS, INCLUSOS MÃO DE OBRA, TRANSPORTE E IÇAMENTO UTILIZANDO GUINDASTE - FORNECIMENTO E INSTALAÇÃO.</t>
  </si>
  <si>
    <t>CP-5</t>
  </si>
  <si>
    <t>5.2</t>
  </si>
  <si>
    <t>VIGA METÁLICA EM PERFIL LAMINADO OU SOLDADO EM AÇO ESTRUTURAL, COM CONEXÕES PARAFUSADAS, INCLUSOS MÃO DE OBRA, TRANSPORTE E IÇAMENTO UTILIZANDO GUINDASTE - FORNECIMENTO E INSTALAÇÃO.</t>
  </si>
  <si>
    <t>CP-4</t>
  </si>
  <si>
    <t>5.1</t>
  </si>
  <si>
    <t>FECHAMENTO DE QUADRA</t>
  </si>
  <si>
    <t>SUBTOTAL ITEM 4:</t>
  </si>
  <si>
    <t>MASSA ÚNICA PARA RECEBIMENTO DE PINTURA, TRAÇO 1:2:8 COM EXECUÇÃO DE TALISCAS</t>
  </si>
  <si>
    <t>4.16</t>
  </si>
  <si>
    <t xml:space="preserve">CHAPISCO 1:3 EM PAREDES </t>
  </si>
  <si>
    <t>4.15</t>
  </si>
  <si>
    <t>ALVENARIA DE VEDAÇÃO DE BLOCOS CERÂMICOS FURADOS NA HORIZONTAL DE 14X9X19CM (ESPESSURA 14CM, BLOCO DEITADO)</t>
  </si>
  <si>
    <t>4.14</t>
  </si>
  <si>
    <t>CONTRAPISO EM ARGAMASSA TRAÇO 1:4 (CIMENTO E AREIA), PREPARO MECÂNICO COM BETONEIRA 400 L, APLICADO EM ÁREAS SECAS SOBRE LAJE, ADERIDO, ESPESSURA 2CM</t>
  </si>
  <si>
    <t>4.13</t>
  </si>
  <si>
    <t>LAJE PRÉ-MOLDADA UNIDIRECIONAL, BIAPOIADA, PARA PISO, ENCHIMENTO EM CERÂMI CA, VIGOTA CONVENCIONAL, ALTURA TOTAL DA LAJE (ENCHIMENTO+CAPA) = (8+4).</t>
  </si>
  <si>
    <t>4.12</t>
  </si>
  <si>
    <t>ALVENARIA DE EMBASAMENTO COM BLOCO ESTRUTURAL DE CONCRETO/PEDRA GRÊS, ARGAMASSA DE ASSENTAMENTO COM PREPARO EM BETONEIRA.</t>
  </si>
  <si>
    <t>4.11</t>
  </si>
  <si>
    <t>4.10</t>
  </si>
  <si>
    <t>4.9</t>
  </si>
  <si>
    <t>ARQUIBANCADA</t>
  </si>
  <si>
    <t>CONCRETAGEM DE VIGAS E LAJES, FCK=25 MPA, PARA LAJES PREMOLDADAS COM USO D M3
E BOMBA - LANÇAMENTO, ADENSAMENTO E ACABAMENTO.</t>
  </si>
  <si>
    <t>4.8</t>
  </si>
  <si>
    <t>4.7</t>
  </si>
  <si>
    <t>4.6</t>
  </si>
  <si>
    <t>4.5</t>
  </si>
  <si>
    <t>VIGAS</t>
  </si>
  <si>
    <t>4.4</t>
  </si>
  <si>
    <t>4.3</t>
  </si>
  <si>
    <t>4.2</t>
  </si>
  <si>
    <t>4.1</t>
  </si>
  <si>
    <t>PILARES</t>
  </si>
  <si>
    <t>SUPRAESTRUTURA</t>
  </si>
  <si>
    <t>SUBTOTAL ITEM 3:</t>
  </si>
  <si>
    <t>IMPERMEABILIZAÇÃO DE SUPERFÍCIE COM EMULSÃO ASFÁLTICA, 2 DEMÃOS</t>
  </si>
  <si>
    <t>3.9</t>
  </si>
  <si>
    <t>3.8</t>
  </si>
  <si>
    <t>3.7</t>
  </si>
  <si>
    <t>3.6</t>
  </si>
  <si>
    <t>3.5</t>
  </si>
  <si>
    <t>3.4</t>
  </si>
  <si>
    <t>3.3</t>
  </si>
  <si>
    <t>3.2</t>
  </si>
  <si>
    <t>3.1</t>
  </si>
  <si>
    <t>INFRAESTRUTURA</t>
  </si>
  <si>
    <t>SUBTOTAL ITEM 2:</t>
  </si>
  <si>
    <t>REMOÇÃO DE PORTÃO DE ALAMBRADO PARA ACESSO</t>
  </si>
  <si>
    <t>CP-3</t>
  </si>
  <si>
    <t>2.3</t>
  </si>
  <si>
    <t>2.2</t>
  </si>
  <si>
    <t>2.1</t>
  </si>
  <si>
    <t>REMOÇÕES</t>
  </si>
  <si>
    <t>SUBTOTAL ITEM 1:</t>
  </si>
  <si>
    <t>DEMOLIÇÃO DE LAJES, DE FORMA MECANIZADA COM MARTELETE, SEM REAPROVEITAMENTO. AF_12/2017</t>
  </si>
  <si>
    <t>1.8</t>
  </si>
  <si>
    <t>mês</t>
  </si>
  <si>
    <t>INSTALAÇÃO E LOCAÇÃO DE CONTAINER PARA SANITÁRIO E ALMOXARIFADO</t>
  </si>
  <si>
    <t>1.7</t>
  </si>
  <si>
    <t>1.6</t>
  </si>
  <si>
    <t>1.5</t>
  </si>
  <si>
    <t>ENTRADA DE ENERGIA ELÉTRICA, SUBTERRÂNEA, TRIFÁSICA, COM CAIXA DE SOBREPOR, CABO DE 25 MM2 E DISJUNTOR DIN 50A (NÃO INCLUSA MURETA DE ALVENARIA - PROVISÓRIA E DEFINITIVA)</t>
  </si>
  <si>
    <t>1.4</t>
  </si>
  <si>
    <t>INSTALAÇÃO PROVISÓRIA/DEFINITIVA DE ÁGUA</t>
  </si>
  <si>
    <t>CP-2</t>
  </si>
  <si>
    <t>1.3</t>
  </si>
  <si>
    <t>TAPUME COM TELHA METÁLICA.</t>
  </si>
  <si>
    <t>1.2</t>
  </si>
  <si>
    <t>CP-1</t>
  </si>
  <si>
    <t>1.1</t>
  </si>
  <si>
    <t>SERVIÇOS PRELIMINARES</t>
  </si>
  <si>
    <t>TOTAL         [R$]</t>
  </si>
  <si>
    <t>MÃO DE OBRA</t>
  </si>
  <si>
    <t>MATERIAL</t>
  </si>
  <si>
    <t>MATERIAL + MÃO DE OBRA    [R$]</t>
  </si>
  <si>
    <t>MÃO DE OBRA   [R$]</t>
  </si>
  <si>
    <t>MATERIAL    [R$]</t>
  </si>
  <si>
    <t>PREÇO TOTAL COM BDI [R$]</t>
  </si>
  <si>
    <t>BDI</t>
  </si>
  <si>
    <t>PREÇO TOTAL S/ BDI</t>
  </si>
  <si>
    <t>PREÇO UNITÁRIO SEM BDI [R$]</t>
  </si>
  <si>
    <t>QTD.</t>
  </si>
  <si>
    <t>DESCRIÇÃO</t>
  </si>
  <si>
    <t>Código SINAPI</t>
  </si>
  <si>
    <t>ITEM</t>
  </si>
  <si>
    <t>Endereço: RUA 15 DE NOVEMBRO, 15 - TRIUNFO</t>
  </si>
  <si>
    <t>Cliente: PREFEITURA MUNICIPAL DE TRIUNFO</t>
  </si>
  <si>
    <t>Obra: Revitalização da quadra de poliesportiva da escola E.T.M. Farroupilha</t>
  </si>
  <si>
    <t>Relatório Global - Data: 23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</si>
</sst>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4" formatCode="&quot;R$&quot;\ #,##0.00"/>
    <numFmt numFmtId="165" formatCode="&quot;R$&quot;#,##0.00"/>
    <numFmt numFmtId="166" formatCode="0.0"/>
    <numFmt numFmtId="167" formatCode="&quot; &quot;#,##0.00&quot; &quot;;&quot; (&quot;#,##0.00&quot;)&quot;;&quot; -&quot;#&quot; &quot;;&quot; &quot;@&quot; &quot;"/>
    <numFmt numFmtId="168" formatCode="[$-416]General"/>
  </numFmts>
  <fonts count="17" x14ac:knownFonts="1">
    <font>
      <sz val="11"/>
      <color theme="1"/>
      <name val="Calibri"/>
      <family val="2"/>
      <scheme val="minor"/>
    </font>
    <font>
      <sz val="11"/>
      <color theme="1"/>
      <name val="Calibri"/>
      <family val="2"/>
      <scheme val="minor"/>
    </font>
    <font>
      <sz val="10"/>
      <color rgb="FF000000"/>
      <name val="Times New Roman"/>
      <family val="1"/>
    </font>
    <font>
      <sz val="10"/>
      <color rgb="FF000000"/>
      <name val="Arial"/>
      <family val="2"/>
    </font>
    <font>
      <sz val="10"/>
      <name val="Arial"/>
      <family val="2"/>
    </font>
    <font>
      <sz val="12"/>
      <color rgb="FF000000"/>
      <name val="Arial"/>
      <family val="2"/>
    </font>
    <font>
      <sz val="12"/>
      <name val="Arial"/>
      <family val="2"/>
    </font>
    <font>
      <sz val="14"/>
      <color rgb="FF000000"/>
      <name val="Arial"/>
      <family val="2"/>
    </font>
    <font>
      <sz val="14"/>
      <name val="Arial"/>
      <family val="2"/>
    </font>
    <font>
      <sz val="14"/>
      <color theme="1"/>
      <name val="Arial"/>
      <family val="2"/>
    </font>
    <font>
      <sz val="11"/>
      <color rgb="FF000000"/>
      <name val="Arial"/>
      <family val="2"/>
    </font>
    <font>
      <b/>
      <sz val="11"/>
      <color rgb="FF000000"/>
      <name val="Arial"/>
      <family val="2"/>
    </font>
    <font>
      <b/>
      <sz val="10"/>
      <color rgb="FF000000"/>
      <name val="Arial"/>
      <family val="2"/>
    </font>
    <font>
      <sz val="11"/>
      <name val="Arial"/>
      <family val="2"/>
    </font>
    <font>
      <b/>
      <sz val="10"/>
      <name val="Arial"/>
      <family val="2"/>
    </font>
    <font>
      <b/>
      <sz val="11"/>
      <name val="Arial"/>
      <family val="2"/>
    </font>
    <font>
      <u/>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bgColor theme="0"/>
      </patternFill>
    </fill>
    <fill>
      <patternFill patternType="solid">
        <fgColor rgb="FFC0C0C0"/>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
    <xf numFmtId="0" fontId="0" fillId="0" borderId="0"/>
    <xf numFmtId="0" fontId="2" fillId="0" borderId="0"/>
    <xf numFmtId="44" fontId="1" fillId="0" borderId="0" applyFont="0" applyFill="0" applyBorder="0" applyAlignment="0" applyProtection="0"/>
  </cellStyleXfs>
  <cellXfs count="131">
    <xf numFmtId="0" fontId="0" fillId="0" borderId="0" xfId="0"/>
    <xf numFmtId="0" fontId="3" fillId="0" borderId="0" xfId="1" applyFont="1" applyAlignment="1">
      <alignment horizontal="left" vertical="top"/>
    </xf>
    <xf numFmtId="164" fontId="3" fillId="0" borderId="0" xfId="1" applyNumberFormat="1" applyFont="1" applyAlignment="1">
      <alignment horizontal="center" vertical="center"/>
    </xf>
    <xf numFmtId="0" fontId="3" fillId="0" borderId="0" xfId="1" applyFont="1" applyAlignment="1">
      <alignment horizontal="center" vertical="center"/>
    </xf>
    <xf numFmtId="0" fontId="4" fillId="0" borderId="0" xfId="1" applyFont="1" applyAlignment="1">
      <alignment horizontal="center" vertical="center"/>
    </xf>
    <xf numFmtId="0" fontId="3" fillId="0" borderId="0" xfId="1" applyFont="1" applyAlignment="1">
      <alignment horizontal="center" vertical="top"/>
    </xf>
    <xf numFmtId="0" fontId="3" fillId="2" borderId="0" xfId="1" applyFont="1" applyFill="1" applyAlignment="1">
      <alignment horizontal="left" vertical="top"/>
    </xf>
    <xf numFmtId="164" fontId="3" fillId="2" borderId="0" xfId="1" applyNumberFormat="1" applyFont="1" applyFill="1" applyAlignment="1">
      <alignment horizontal="center" vertical="center"/>
    </xf>
    <xf numFmtId="0" fontId="3" fillId="2" borderId="0" xfId="1" applyFont="1" applyFill="1" applyAlignment="1">
      <alignment horizontal="center" vertical="center"/>
    </xf>
    <xf numFmtId="0" fontId="4" fillId="2" borderId="0" xfId="1" applyFont="1" applyFill="1" applyAlignment="1">
      <alignment horizontal="center" vertical="center"/>
    </xf>
    <xf numFmtId="0" fontId="3" fillId="2" borderId="0" xfId="1" applyFont="1" applyFill="1" applyAlignment="1">
      <alignment horizontal="center" vertical="top"/>
    </xf>
    <xf numFmtId="164" fontId="5" fillId="2" borderId="1" xfId="1" applyNumberFormat="1" applyFont="1" applyFill="1" applyBorder="1" applyAlignment="1">
      <alignment vertical="center"/>
    </xf>
    <xf numFmtId="164" fontId="5" fillId="2" borderId="2" xfId="1" applyNumberFormat="1" applyFont="1" applyFill="1" applyBorder="1" applyAlignment="1">
      <alignment vertical="center"/>
    </xf>
    <xf numFmtId="0" fontId="5" fillId="2" borderId="3" xfId="1" applyFont="1" applyFill="1" applyBorder="1" applyAlignment="1">
      <alignment horizontal="center" vertical="top"/>
    </xf>
    <xf numFmtId="164" fontId="5" fillId="2" borderId="4" xfId="1" applyNumberFormat="1" applyFont="1" applyFill="1" applyBorder="1" applyAlignment="1">
      <alignment vertical="center"/>
    </xf>
    <xf numFmtId="164" fontId="5" fillId="2" borderId="0" xfId="1" applyNumberFormat="1" applyFont="1" applyFill="1" applyAlignment="1">
      <alignment vertical="center"/>
    </xf>
    <xf numFmtId="0" fontId="5" fillId="2" borderId="5" xfId="1" applyFont="1" applyFill="1" applyBorder="1" applyAlignment="1">
      <alignment horizontal="center" vertical="top"/>
    </xf>
    <xf numFmtId="164" fontId="5" fillId="2" borderId="0" xfId="1" applyNumberFormat="1" applyFont="1" applyFill="1" applyAlignment="1">
      <alignment horizontal="center" vertical="center"/>
    </xf>
    <xf numFmtId="0" fontId="5" fillId="2" borderId="0" xfId="1" applyFont="1" applyFill="1" applyAlignment="1">
      <alignment horizontal="center" vertical="center"/>
    </xf>
    <xf numFmtId="0" fontId="6" fillId="2" borderId="0" xfId="1" applyFont="1" applyFill="1" applyAlignment="1">
      <alignment horizontal="center" vertical="center"/>
    </xf>
    <xf numFmtId="0" fontId="5" fillId="2" borderId="0" xfId="1" applyFont="1" applyFill="1" applyAlignment="1">
      <alignment horizontal="left" vertical="top"/>
    </xf>
    <xf numFmtId="164" fontId="7" fillId="2" borderId="4" xfId="1" applyNumberFormat="1" applyFont="1" applyFill="1" applyBorder="1" applyAlignment="1">
      <alignment horizontal="center" vertical="center"/>
    </xf>
    <xf numFmtId="0" fontId="7" fillId="2" borderId="0" xfId="1" applyFont="1" applyFill="1" applyAlignment="1">
      <alignment horizontal="center" vertical="center"/>
    </xf>
    <xf numFmtId="0" fontId="8" fillId="2" borderId="0" xfId="1" applyFont="1" applyFill="1" applyAlignment="1">
      <alignment horizontal="center" vertical="center"/>
    </xf>
    <xf numFmtId="0" fontId="7" fillId="2" borderId="0" xfId="1" applyFont="1" applyFill="1" applyAlignment="1">
      <alignment horizontal="left" vertical="top"/>
    </xf>
    <xf numFmtId="164" fontId="7" fillId="2" borderId="0" xfId="1" applyNumberFormat="1" applyFont="1" applyFill="1" applyAlignment="1">
      <alignment horizontal="center" vertical="center"/>
    </xf>
    <xf numFmtId="164" fontId="7" fillId="2" borderId="0" xfId="1" applyNumberFormat="1" applyFont="1" applyFill="1" applyAlignment="1">
      <alignment vertical="center"/>
    </xf>
    <xf numFmtId="164" fontId="7" fillId="2" borderId="4" xfId="1" applyNumberFormat="1" applyFont="1" applyFill="1" applyBorder="1" applyAlignment="1">
      <alignment vertical="center"/>
    </xf>
    <xf numFmtId="0" fontId="9" fillId="2" borderId="0" xfId="0" applyFont="1" applyFill="1" applyAlignment="1">
      <alignment horizontal="center"/>
    </xf>
    <xf numFmtId="0" fontId="8" fillId="2" borderId="0" xfId="0" applyFont="1" applyFill="1"/>
    <xf numFmtId="0" fontId="7" fillId="2" borderId="0" xfId="1" applyFont="1" applyFill="1" applyAlignment="1">
      <alignment horizontal="center" vertical="top"/>
    </xf>
    <xf numFmtId="0" fontId="8" fillId="2" borderId="0" xfId="1" applyFont="1" applyFill="1" applyAlignment="1">
      <alignment horizontal="left" vertical="top"/>
    </xf>
    <xf numFmtId="164" fontId="10" fillId="2" borderId="4" xfId="1" applyNumberFormat="1" applyFont="1" applyFill="1" applyBorder="1" applyAlignment="1">
      <alignment horizontal="center" vertical="center"/>
    </xf>
    <xf numFmtId="164" fontId="10" fillId="2" borderId="0" xfId="1" applyNumberFormat="1" applyFont="1" applyFill="1" applyAlignment="1">
      <alignment horizontal="center" vertical="center"/>
    </xf>
    <xf numFmtId="0" fontId="3" fillId="2" borderId="0" xfId="1" applyFont="1" applyFill="1" applyAlignment="1">
      <alignment vertical="center" wrapText="1"/>
    </xf>
    <xf numFmtId="165" fontId="11" fillId="3" borderId="6" xfId="1" applyNumberFormat="1" applyFont="1" applyFill="1" applyBorder="1" applyAlignment="1">
      <alignment horizontal="center" vertical="center" shrinkToFit="1"/>
    </xf>
    <xf numFmtId="0" fontId="3" fillId="2" borderId="0" xfId="1" applyFont="1" applyFill="1" applyAlignment="1">
      <alignment vertical="top"/>
    </xf>
    <xf numFmtId="165" fontId="12" fillId="0" borderId="6" xfId="1" applyNumberFormat="1" applyFont="1" applyBorder="1" applyAlignment="1">
      <alignment horizontal="center" vertical="center" shrinkToFit="1"/>
    </xf>
    <xf numFmtId="164" fontId="13" fillId="0" borderId="6" xfId="1" applyNumberFormat="1" applyFont="1" applyBorder="1" applyAlignment="1">
      <alignment horizontal="center" vertical="center" shrinkToFit="1"/>
    </xf>
    <xf numFmtId="10" fontId="13" fillId="0" borderId="6" xfId="1" applyNumberFormat="1" applyFont="1" applyBorder="1" applyAlignment="1">
      <alignment horizontal="center" vertical="center" wrapText="1" shrinkToFit="1"/>
    </xf>
    <xf numFmtId="164" fontId="10" fillId="2" borderId="6" xfId="1" applyNumberFormat="1" applyFont="1" applyFill="1" applyBorder="1" applyAlignment="1">
      <alignment horizontal="center" vertical="center" shrinkToFit="1"/>
    </xf>
    <xf numFmtId="164" fontId="10" fillId="2" borderId="6" xfId="1" applyNumberFormat="1" applyFont="1" applyFill="1" applyBorder="1" applyAlignment="1">
      <alignment horizontal="center" vertical="center" wrapText="1" shrinkToFit="1"/>
    </xf>
    <xf numFmtId="164" fontId="13" fillId="2" borderId="6" xfId="1" applyNumberFormat="1" applyFont="1" applyFill="1" applyBorder="1" applyAlignment="1">
      <alignment horizontal="center" vertical="center" wrapText="1" shrinkToFit="1"/>
    </xf>
    <xf numFmtId="0" fontId="13" fillId="2" borderId="6" xfId="1" applyFont="1" applyFill="1" applyBorder="1" applyAlignment="1">
      <alignment horizontal="center" vertical="center" wrapText="1"/>
    </xf>
    <xf numFmtId="2" fontId="13" fillId="2" borderId="6" xfId="1" applyNumberFormat="1" applyFont="1" applyFill="1" applyBorder="1" applyAlignment="1">
      <alignment horizontal="center" vertical="center" wrapText="1"/>
    </xf>
    <xf numFmtId="0" fontId="13" fillId="2" borderId="9" xfId="1" applyFont="1" applyFill="1" applyBorder="1" applyAlignment="1">
      <alignment horizontal="left" vertical="center" wrapText="1"/>
    </xf>
    <xf numFmtId="0" fontId="10" fillId="2" borderId="6" xfId="1" applyFont="1" applyFill="1" applyBorder="1" applyAlignment="1">
      <alignment horizontal="center" vertical="center" wrapText="1" shrinkToFit="1"/>
    </xf>
    <xf numFmtId="166" fontId="10" fillId="2" borderId="6" xfId="1" applyNumberFormat="1" applyFont="1" applyFill="1" applyBorder="1" applyAlignment="1">
      <alignment horizontal="center" vertical="center" shrinkToFit="1"/>
    </xf>
    <xf numFmtId="0" fontId="14" fillId="3" borderId="7" xfId="1" applyFont="1" applyFill="1" applyBorder="1" applyAlignment="1">
      <alignment vertical="center"/>
    </xf>
    <xf numFmtId="0" fontId="14" fillId="3" borderId="8" xfId="1" applyFont="1" applyFill="1" applyBorder="1" applyAlignment="1">
      <alignment vertical="center"/>
    </xf>
    <xf numFmtId="0" fontId="14" fillId="3" borderId="8" xfId="1" applyFont="1" applyFill="1" applyBorder="1" applyAlignment="1">
      <alignment horizontal="center" vertical="center"/>
    </xf>
    <xf numFmtId="1" fontId="12" fillId="3" borderId="9" xfId="1" applyNumberFormat="1" applyFont="1" applyFill="1" applyBorder="1" applyAlignment="1">
      <alignment horizontal="center" vertical="center" shrinkToFit="1"/>
    </xf>
    <xf numFmtId="164" fontId="10" fillId="0" borderId="6" xfId="1" applyNumberFormat="1" applyFont="1" applyBorder="1" applyAlignment="1">
      <alignment horizontal="center" vertical="center" shrinkToFit="1"/>
    </xf>
    <xf numFmtId="164" fontId="10" fillId="0" borderId="6" xfId="1" applyNumberFormat="1" applyFont="1" applyBorder="1" applyAlignment="1">
      <alignment horizontal="center" vertical="center" wrapText="1" shrinkToFit="1"/>
    </xf>
    <xf numFmtId="164" fontId="13" fillId="0" borderId="6" xfId="1" applyNumberFormat="1" applyFont="1" applyBorder="1" applyAlignment="1">
      <alignment horizontal="center" vertical="center" wrapText="1" shrinkToFit="1"/>
    </xf>
    <xf numFmtId="0" fontId="13" fillId="0" borderId="6" xfId="1" applyFont="1" applyBorder="1" applyAlignment="1">
      <alignment horizontal="center" vertical="center" wrapText="1"/>
    </xf>
    <xf numFmtId="0" fontId="13" fillId="2" borderId="6" xfId="1" applyFont="1" applyFill="1" applyBorder="1" applyAlignment="1">
      <alignment horizontal="left" vertical="center" wrapText="1"/>
    </xf>
    <xf numFmtId="0" fontId="10" fillId="0" borderId="6" xfId="1" applyFont="1" applyBorder="1" applyAlignment="1">
      <alignment horizontal="center" vertical="center" wrapText="1" shrinkToFit="1"/>
    </xf>
    <xf numFmtId="10" fontId="13" fillId="2" borderId="6" xfId="1" applyNumberFormat="1" applyFont="1" applyFill="1" applyBorder="1" applyAlignment="1">
      <alignment horizontal="center" vertical="center" wrapText="1" shrinkToFit="1"/>
    </xf>
    <xf numFmtId="2" fontId="10" fillId="2" borderId="6" xfId="1" applyNumberFormat="1" applyFont="1" applyFill="1" applyBorder="1" applyAlignment="1">
      <alignment horizontal="center" vertical="center" wrapText="1" shrinkToFit="1"/>
    </xf>
    <xf numFmtId="0" fontId="10" fillId="2" borderId="6" xfId="1" applyFont="1" applyFill="1" applyBorder="1" applyAlignment="1">
      <alignment horizontal="left" vertical="center" wrapText="1" shrinkToFit="1"/>
    </xf>
    <xf numFmtId="0" fontId="10" fillId="0" borderId="6" xfId="1" applyFont="1" applyBorder="1" applyAlignment="1">
      <alignment horizontal="left" vertical="center" wrapText="1" shrinkToFit="1"/>
    </xf>
    <xf numFmtId="0" fontId="14" fillId="3" borderId="7" xfId="1" applyFont="1" applyFill="1" applyBorder="1" applyAlignment="1">
      <alignment horizontal="left" vertical="center"/>
    </xf>
    <xf numFmtId="0" fontId="14" fillId="3" borderId="8" xfId="1" applyFont="1" applyFill="1" applyBorder="1" applyAlignment="1">
      <alignment horizontal="left" vertical="center"/>
    </xf>
    <xf numFmtId="167" fontId="10" fillId="0" borderId="6" xfId="0" applyNumberFormat="1" applyFont="1" applyBorder="1" applyAlignment="1">
      <alignment horizontal="center" vertical="center" shrinkToFit="1"/>
    </xf>
    <xf numFmtId="0" fontId="13" fillId="2" borderId="6" xfId="1" applyFont="1" applyFill="1" applyBorder="1" applyAlignment="1">
      <alignment vertical="center" wrapText="1"/>
    </xf>
    <xf numFmtId="0" fontId="13" fillId="4" borderId="6" xfId="0" applyFont="1" applyFill="1" applyBorder="1" applyAlignment="1">
      <alignment horizontal="center" vertical="center" wrapText="1"/>
    </xf>
    <xf numFmtId="166" fontId="10" fillId="0" borderId="6" xfId="1" applyNumberFormat="1" applyFont="1" applyBorder="1" applyAlignment="1">
      <alignment horizontal="center" vertical="center" shrinkToFit="1"/>
    </xf>
    <xf numFmtId="168" fontId="13" fillId="2" borderId="6" xfId="0" applyNumberFormat="1" applyFont="1" applyFill="1" applyBorder="1" applyAlignment="1">
      <alignment vertical="center" wrapText="1"/>
    </xf>
    <xf numFmtId="168" fontId="13" fillId="2" borderId="6" xfId="0" applyNumberFormat="1" applyFont="1" applyFill="1" applyBorder="1" applyAlignment="1">
      <alignment horizontal="center" vertical="center"/>
    </xf>
    <xf numFmtId="168" fontId="13" fillId="0" borderId="6" xfId="0" applyNumberFormat="1" applyFont="1" applyBorder="1" applyAlignment="1">
      <alignment horizontal="left" vertical="center" wrapText="1"/>
    </xf>
    <xf numFmtId="168" fontId="13" fillId="0" borderId="6" xfId="0" applyNumberFormat="1" applyFont="1" applyBorder="1" applyAlignment="1">
      <alignment horizontal="center" vertical="center"/>
    </xf>
    <xf numFmtId="0" fontId="13" fillId="0" borderId="6" xfId="1" applyFont="1" applyBorder="1" applyAlignment="1">
      <alignment vertical="center" wrapText="1"/>
    </xf>
    <xf numFmtId="0" fontId="4" fillId="0" borderId="0" xfId="1" applyFont="1" applyAlignment="1">
      <alignment horizontal="left" vertical="top"/>
    </xf>
    <xf numFmtId="0" fontId="4" fillId="2" borderId="0" xfId="1" applyFont="1" applyFill="1" applyAlignment="1">
      <alignment horizontal="left" vertical="top"/>
    </xf>
    <xf numFmtId="0" fontId="4" fillId="2" borderId="0" xfId="1" applyFont="1" applyFill="1" applyAlignment="1">
      <alignment vertical="top"/>
    </xf>
    <xf numFmtId="0" fontId="4" fillId="2" borderId="0" xfId="1" applyFont="1" applyFill="1" applyAlignment="1">
      <alignment vertical="center" wrapText="1"/>
    </xf>
    <xf numFmtId="167" fontId="13" fillId="0" borderId="6" xfId="0" applyNumberFormat="1" applyFont="1" applyBorder="1" applyAlignment="1">
      <alignment horizontal="center" vertical="center" shrinkToFit="1"/>
    </xf>
    <xf numFmtId="0" fontId="13" fillId="0" borderId="6" xfId="1" applyFont="1" applyBorder="1" applyAlignment="1">
      <alignment horizontal="center" vertical="center" wrapText="1" shrinkToFit="1"/>
    </xf>
    <xf numFmtId="168" fontId="10" fillId="0" borderId="6" xfId="0" applyNumberFormat="1" applyFont="1" applyBorder="1" applyAlignment="1">
      <alignment horizontal="left" vertical="center" wrapText="1"/>
    </xf>
    <xf numFmtId="168" fontId="10" fillId="0" borderId="6" xfId="0" applyNumberFormat="1" applyFont="1" applyBorder="1" applyAlignment="1">
      <alignment horizontal="center" vertical="center"/>
    </xf>
    <xf numFmtId="2" fontId="10" fillId="0" borderId="6" xfId="0" applyNumberFormat="1" applyFont="1" applyBorder="1" applyAlignment="1">
      <alignment horizontal="center" vertical="center" shrinkToFit="1"/>
    </xf>
    <xf numFmtId="0" fontId="13" fillId="2" borderId="9" xfId="1" applyFont="1" applyFill="1" applyBorder="1" applyAlignment="1">
      <alignment vertical="center" wrapText="1"/>
    </xf>
    <xf numFmtId="0" fontId="13" fillId="0" borderId="6" xfId="0" applyFont="1" applyBorder="1" applyAlignment="1">
      <alignment horizontal="center" vertical="center"/>
    </xf>
    <xf numFmtId="167" fontId="10" fillId="2" borderId="6" xfId="0" applyNumberFormat="1" applyFont="1" applyFill="1" applyBorder="1" applyAlignment="1">
      <alignment horizontal="center" vertical="center" shrinkToFit="1"/>
    </xf>
    <xf numFmtId="0" fontId="3" fillId="0" borderId="0" xfId="1" applyFont="1" applyAlignment="1">
      <alignment vertical="top"/>
    </xf>
    <xf numFmtId="0" fontId="3" fillId="0" borderId="0" xfId="1" applyFont="1" applyAlignment="1">
      <alignment vertical="center" wrapText="1"/>
    </xf>
    <xf numFmtId="2" fontId="10" fillId="0" borderId="6" xfId="1" applyNumberFormat="1" applyFont="1" applyBorder="1" applyAlignment="1">
      <alignment horizontal="center" vertical="center" wrapText="1" shrinkToFit="1"/>
    </xf>
    <xf numFmtId="0" fontId="10" fillId="2" borderId="8" xfId="1" applyFont="1" applyFill="1" applyBorder="1" applyAlignment="1">
      <alignment horizontal="center" vertical="center" wrapText="1" shrinkToFit="1"/>
    </xf>
    <xf numFmtId="168" fontId="10" fillId="2" borderId="6" xfId="0" applyNumberFormat="1" applyFont="1" applyFill="1" applyBorder="1" applyAlignment="1">
      <alignment horizontal="left" vertical="center" wrapText="1"/>
    </xf>
    <xf numFmtId="168" fontId="10" fillId="2" borderId="8" xfId="0" applyNumberFormat="1" applyFont="1" applyFill="1" applyBorder="1" applyAlignment="1">
      <alignment horizontal="center" vertical="center"/>
    </xf>
    <xf numFmtId="0" fontId="13" fillId="0" borderId="6" xfId="1" applyFont="1" applyBorder="1" applyAlignment="1">
      <alignment horizontal="left" vertical="center" wrapText="1"/>
    </xf>
    <xf numFmtId="49" fontId="10" fillId="2" borderId="6" xfId="1" applyNumberFormat="1" applyFont="1" applyFill="1" applyBorder="1" applyAlignment="1">
      <alignment horizontal="left" vertical="center" wrapText="1" shrinkToFit="1"/>
    </xf>
    <xf numFmtId="168" fontId="10" fillId="2" borderId="6" xfId="0" applyNumberFormat="1" applyFont="1" applyFill="1" applyBorder="1" applyAlignment="1">
      <alignment horizontal="center" vertical="center"/>
    </xf>
    <xf numFmtId="165" fontId="12" fillId="0" borderId="7" xfId="1" applyNumberFormat="1" applyFont="1" applyBorder="1" applyAlignment="1">
      <alignment horizontal="center" vertical="center" shrinkToFit="1"/>
    </xf>
    <xf numFmtId="165" fontId="12" fillId="0" borderId="8" xfId="1" applyNumberFormat="1" applyFont="1" applyBorder="1" applyAlignment="1">
      <alignment horizontal="center" vertical="center" shrinkToFit="1"/>
    </xf>
    <xf numFmtId="166" fontId="13" fillId="0" borderId="6" xfId="1" applyNumberFormat="1" applyFont="1" applyBorder="1" applyAlignment="1">
      <alignment horizontal="center" vertical="center" shrinkToFit="1"/>
    </xf>
    <xf numFmtId="164" fontId="15" fillId="5" borderId="6" xfId="1" applyNumberFormat="1" applyFont="1" applyFill="1" applyBorder="1" applyAlignment="1">
      <alignment horizontal="center" vertical="center" wrapText="1"/>
    </xf>
    <xf numFmtId="0" fontId="5" fillId="2" borderId="0" xfId="1" applyFont="1" applyFill="1" applyAlignment="1">
      <alignment horizontal="center" vertical="top"/>
    </xf>
    <xf numFmtId="0" fontId="5" fillId="2" borderId="2" xfId="1" applyFont="1" applyFill="1" applyBorder="1" applyAlignment="1">
      <alignment horizontal="center" vertical="top"/>
    </xf>
    <xf numFmtId="0" fontId="9" fillId="2" borderId="0" xfId="0" applyFont="1" applyFill="1" applyAlignment="1">
      <alignment horizontal="left" vertical="center"/>
    </xf>
    <xf numFmtId="0" fontId="9" fillId="2" borderId="0" xfId="0" quotePrefix="1" applyFont="1" applyFill="1" applyAlignment="1">
      <alignment horizontal="left" vertical="center"/>
    </xf>
    <xf numFmtId="1" fontId="12" fillId="3" borderId="9" xfId="1" applyNumberFormat="1" applyFont="1" applyFill="1" applyBorder="1" applyAlignment="1">
      <alignment horizontal="left" vertical="center" shrinkToFit="1"/>
    </xf>
    <xf numFmtId="1" fontId="12" fillId="3" borderId="8" xfId="1" applyNumberFormat="1" applyFont="1" applyFill="1" applyBorder="1" applyAlignment="1">
      <alignment horizontal="left" vertical="center" shrinkToFit="1"/>
    </xf>
    <xf numFmtId="166" fontId="11" fillId="3" borderId="9" xfId="1" applyNumberFormat="1" applyFont="1" applyFill="1" applyBorder="1" applyAlignment="1">
      <alignment horizontal="right" vertical="center" shrinkToFit="1"/>
    </xf>
    <xf numFmtId="166" fontId="11" fillId="3" borderId="8" xfId="1" applyNumberFormat="1" applyFont="1" applyFill="1" applyBorder="1" applyAlignment="1">
      <alignment horizontal="right" vertical="center" shrinkToFit="1"/>
    </xf>
    <xf numFmtId="166" fontId="11" fillId="3" borderId="7" xfId="1" applyNumberFormat="1" applyFont="1" applyFill="1" applyBorder="1" applyAlignment="1">
      <alignment horizontal="right" vertical="center" shrinkToFit="1"/>
    </xf>
    <xf numFmtId="166" fontId="12" fillId="0" borderId="9" xfId="1" applyNumberFormat="1" applyFont="1" applyBorder="1" applyAlignment="1">
      <alignment horizontal="right" vertical="center" shrinkToFit="1"/>
    </xf>
    <xf numFmtId="166" fontId="12" fillId="0" borderId="8" xfId="1" applyNumberFormat="1" applyFont="1" applyBorder="1" applyAlignment="1">
      <alignment horizontal="right" vertical="center" shrinkToFit="1"/>
    </xf>
    <xf numFmtId="0" fontId="14" fillId="3" borderId="8" xfId="1" applyFont="1" applyFill="1" applyBorder="1" applyAlignment="1">
      <alignment horizontal="left" vertical="center"/>
    </xf>
    <xf numFmtId="0" fontId="14" fillId="3" borderId="7" xfId="1" applyFont="1" applyFill="1" applyBorder="1" applyAlignment="1">
      <alignment horizontal="left" vertical="center"/>
    </xf>
    <xf numFmtId="166" fontId="12" fillId="0" borderId="6" xfId="1" applyNumberFormat="1" applyFont="1" applyBorder="1" applyAlignment="1">
      <alignment horizontal="right" vertical="center" shrinkToFit="1"/>
    </xf>
    <xf numFmtId="2" fontId="5" fillId="0" borderId="3" xfId="1" applyNumberFormat="1" applyFont="1" applyBorder="1" applyAlignment="1">
      <alignment horizontal="center" vertical="center" wrapText="1"/>
    </xf>
    <xf numFmtId="2" fontId="5" fillId="0" borderId="2" xfId="1" applyNumberFormat="1" applyFont="1" applyBorder="1" applyAlignment="1">
      <alignment horizontal="center" vertical="center" wrapText="1"/>
    </xf>
    <xf numFmtId="2" fontId="5" fillId="0" borderId="1" xfId="1" applyNumberFormat="1" applyFont="1" applyBorder="1" applyAlignment="1">
      <alignment horizontal="center" vertical="center" wrapText="1"/>
    </xf>
    <xf numFmtId="164" fontId="7" fillId="2" borderId="0" xfId="1" applyNumberFormat="1" applyFont="1" applyFill="1" applyAlignment="1">
      <alignment horizontal="center" vertical="center"/>
    </xf>
    <xf numFmtId="164" fontId="7" fillId="2" borderId="4" xfId="1" applyNumberFormat="1" applyFont="1" applyFill="1" applyBorder="1" applyAlignment="1">
      <alignment horizontal="center" vertical="center"/>
    </xf>
    <xf numFmtId="0" fontId="15" fillId="5" borderId="6" xfId="1" applyFont="1" applyFill="1" applyBorder="1" applyAlignment="1">
      <alignment horizontal="center" vertical="center" wrapText="1"/>
    </xf>
    <xf numFmtId="164" fontId="15" fillId="5" borderId="6" xfId="1" applyNumberFormat="1" applyFont="1" applyFill="1" applyBorder="1" applyAlignment="1">
      <alignment horizontal="center" vertical="center" wrapText="1"/>
    </xf>
    <xf numFmtId="2" fontId="5" fillId="0" borderId="12" xfId="1" applyNumberFormat="1" applyFont="1" applyBorder="1" applyAlignment="1">
      <alignment horizontal="center" vertical="center" wrapText="1"/>
    </xf>
    <xf numFmtId="2" fontId="5" fillId="0" borderId="11" xfId="1" applyNumberFormat="1" applyFont="1" applyBorder="1" applyAlignment="1">
      <alignment horizontal="center" vertical="center" wrapText="1"/>
    </xf>
    <xf numFmtId="2" fontId="5" fillId="0" borderId="10" xfId="1" applyNumberFormat="1" applyFont="1" applyBorder="1" applyAlignment="1">
      <alignment horizontal="center" vertical="center" wrapText="1"/>
    </xf>
    <xf numFmtId="2" fontId="6" fillId="0" borderId="5" xfId="1" applyNumberFormat="1" applyFont="1" applyBorder="1" applyAlignment="1">
      <alignment horizontal="center" vertical="center" wrapText="1"/>
    </xf>
    <xf numFmtId="2" fontId="5" fillId="0" borderId="0" xfId="1" applyNumberFormat="1" applyFont="1" applyAlignment="1">
      <alignment horizontal="center" vertical="center" wrapText="1"/>
    </xf>
    <xf numFmtId="2" fontId="5" fillId="0" borderId="4" xfId="1" applyNumberFormat="1" applyFont="1" applyBorder="1" applyAlignment="1">
      <alignment horizontal="center" vertical="center" wrapText="1"/>
    </xf>
    <xf numFmtId="2" fontId="16" fillId="0" borderId="5" xfId="1" applyNumberFormat="1" applyFont="1" applyBorder="1" applyAlignment="1">
      <alignment horizontal="center" vertical="center" wrapText="1"/>
    </xf>
    <xf numFmtId="2" fontId="16" fillId="0" borderId="0" xfId="1" applyNumberFormat="1" applyFont="1" applyAlignment="1">
      <alignment horizontal="center" vertical="center" wrapText="1"/>
    </xf>
    <xf numFmtId="2" fontId="16" fillId="0" borderId="4" xfId="1" applyNumberFormat="1" applyFont="1" applyBorder="1" applyAlignment="1">
      <alignment horizontal="center" vertical="center" wrapText="1"/>
    </xf>
    <xf numFmtId="0" fontId="10" fillId="5" borderId="9" xfId="1" applyFont="1" applyFill="1" applyBorder="1" applyAlignment="1">
      <alignment horizontal="left" vertical="center" wrapText="1"/>
    </xf>
    <xf numFmtId="0" fontId="10" fillId="5" borderId="8" xfId="1" applyFont="1" applyFill="1" applyBorder="1" applyAlignment="1">
      <alignment horizontal="left" vertical="center" wrapText="1"/>
    </xf>
    <xf numFmtId="0" fontId="10" fillId="5" borderId="7" xfId="1" applyFont="1" applyFill="1" applyBorder="1" applyAlignment="1">
      <alignment horizontal="left" vertical="center" wrapText="1"/>
    </xf>
  </cellXfs>
  <cellStyles count="3">
    <cellStyle name="Mo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0</xdr:colOff>
      <xdr:row>12</xdr:row>
      <xdr:rowOff>0</xdr:rowOff>
    </xdr:from>
    <xdr:ext cx="0" cy="26035"/>
    <xdr:sp macro="" textlink="">
      <xdr:nvSpPr>
        <xdr:cNvPr id="2" name="Shape 3">
          <a:extLst>
            <a:ext uri="{FF2B5EF4-FFF2-40B4-BE49-F238E27FC236}">
              <a16:creationId xmlns:a16="http://schemas.microsoft.com/office/drawing/2014/main" id="{00000000-0008-0000-0000-000002000000}"/>
            </a:ext>
          </a:extLst>
        </xdr:cNvPr>
        <xdr:cNvSpPr/>
      </xdr:nvSpPr>
      <xdr:spPr>
        <a:xfrm>
          <a:off x="8534400" y="22860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12</xdr:row>
      <xdr:rowOff>0</xdr:rowOff>
    </xdr:from>
    <xdr:ext cx="0" cy="40005"/>
    <xdr:sp macro="" textlink="">
      <xdr:nvSpPr>
        <xdr:cNvPr id="3" name="Shape 4">
          <a:extLst>
            <a:ext uri="{FF2B5EF4-FFF2-40B4-BE49-F238E27FC236}">
              <a16:creationId xmlns:a16="http://schemas.microsoft.com/office/drawing/2014/main" id="{00000000-0008-0000-0000-000003000000}"/>
            </a:ext>
          </a:extLst>
        </xdr:cNvPr>
        <xdr:cNvSpPr/>
      </xdr:nvSpPr>
      <xdr:spPr>
        <a:xfrm>
          <a:off x="8534400" y="22860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2</xdr:col>
      <xdr:colOff>112058</xdr:colOff>
      <xdr:row>0</xdr:row>
      <xdr:rowOff>33618</xdr:rowOff>
    </xdr:from>
    <xdr:ext cx="691338" cy="859351"/>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rcRect/>
        <a:stretch>
          <a:fillRect/>
        </a:stretch>
      </xdr:blipFill>
      <xdr:spPr bwMode="auto">
        <a:xfrm>
          <a:off x="1331258" y="33618"/>
          <a:ext cx="691338" cy="859351"/>
        </a:xfrm>
        <a:prstGeom prst="rect">
          <a:avLst/>
        </a:prstGeom>
        <a:noFill/>
        <a:ln w="9525">
          <a:noFill/>
          <a:miter lim="800000"/>
          <a:headEnd/>
          <a:tailEnd/>
        </a:ln>
      </xdr:spPr>
    </xdr:pic>
    <xdr:clientData/>
  </xdr:oneCellAnchor>
  <xdr:oneCellAnchor>
    <xdr:from>
      <xdr:col>14</xdr:col>
      <xdr:colOff>0</xdr:colOff>
      <xdr:row>240</xdr:row>
      <xdr:rowOff>0</xdr:rowOff>
    </xdr:from>
    <xdr:ext cx="0" cy="26035"/>
    <xdr:sp macro="" textlink="">
      <xdr:nvSpPr>
        <xdr:cNvPr id="5" name="Shape 3">
          <a:extLst>
            <a:ext uri="{FF2B5EF4-FFF2-40B4-BE49-F238E27FC236}">
              <a16:creationId xmlns:a16="http://schemas.microsoft.com/office/drawing/2014/main" id="{00000000-0008-0000-0000-000005000000}"/>
            </a:ext>
          </a:extLst>
        </xdr:cNvPr>
        <xdr:cNvSpPr/>
      </xdr:nvSpPr>
      <xdr:spPr>
        <a:xfrm>
          <a:off x="8534400" y="457200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240</xdr:row>
      <xdr:rowOff>0</xdr:rowOff>
    </xdr:from>
    <xdr:ext cx="0" cy="40005"/>
    <xdr:sp macro="" textlink="">
      <xdr:nvSpPr>
        <xdr:cNvPr id="6" name="Shape 4">
          <a:extLst>
            <a:ext uri="{FF2B5EF4-FFF2-40B4-BE49-F238E27FC236}">
              <a16:creationId xmlns:a16="http://schemas.microsoft.com/office/drawing/2014/main" id="{00000000-0008-0000-0000-000006000000}"/>
            </a:ext>
          </a:extLst>
        </xdr:cNvPr>
        <xdr:cNvSpPr/>
      </xdr:nvSpPr>
      <xdr:spPr>
        <a:xfrm>
          <a:off x="8534400" y="457200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240</xdr:row>
      <xdr:rowOff>0</xdr:rowOff>
    </xdr:from>
    <xdr:ext cx="0" cy="26035"/>
    <xdr:sp macro="" textlink="">
      <xdr:nvSpPr>
        <xdr:cNvPr id="7" name="Shape 3">
          <a:extLst>
            <a:ext uri="{FF2B5EF4-FFF2-40B4-BE49-F238E27FC236}">
              <a16:creationId xmlns:a16="http://schemas.microsoft.com/office/drawing/2014/main" id="{00000000-0008-0000-0000-000007000000}"/>
            </a:ext>
          </a:extLst>
        </xdr:cNvPr>
        <xdr:cNvSpPr/>
      </xdr:nvSpPr>
      <xdr:spPr>
        <a:xfrm>
          <a:off x="8534400" y="457200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240</xdr:row>
      <xdr:rowOff>0</xdr:rowOff>
    </xdr:from>
    <xdr:ext cx="0" cy="40005"/>
    <xdr:sp macro="" textlink="">
      <xdr:nvSpPr>
        <xdr:cNvPr id="8" name="Shape 4">
          <a:extLst>
            <a:ext uri="{FF2B5EF4-FFF2-40B4-BE49-F238E27FC236}">
              <a16:creationId xmlns:a16="http://schemas.microsoft.com/office/drawing/2014/main" id="{00000000-0008-0000-0000-000008000000}"/>
            </a:ext>
          </a:extLst>
        </xdr:cNvPr>
        <xdr:cNvSpPr/>
      </xdr:nvSpPr>
      <xdr:spPr>
        <a:xfrm>
          <a:off x="8534400" y="457200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240</xdr:row>
      <xdr:rowOff>0</xdr:rowOff>
    </xdr:from>
    <xdr:ext cx="0" cy="26035"/>
    <xdr:sp macro="" textlink="">
      <xdr:nvSpPr>
        <xdr:cNvPr id="9" name="Shape 3">
          <a:extLst>
            <a:ext uri="{FF2B5EF4-FFF2-40B4-BE49-F238E27FC236}">
              <a16:creationId xmlns:a16="http://schemas.microsoft.com/office/drawing/2014/main" id="{00000000-0008-0000-0000-000009000000}"/>
            </a:ext>
          </a:extLst>
        </xdr:cNvPr>
        <xdr:cNvSpPr/>
      </xdr:nvSpPr>
      <xdr:spPr>
        <a:xfrm>
          <a:off x="8534400" y="457200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240</xdr:row>
      <xdr:rowOff>0</xdr:rowOff>
    </xdr:from>
    <xdr:ext cx="0" cy="40005"/>
    <xdr:sp macro="" textlink="">
      <xdr:nvSpPr>
        <xdr:cNvPr id="10" name="Shape 4">
          <a:extLst>
            <a:ext uri="{FF2B5EF4-FFF2-40B4-BE49-F238E27FC236}">
              <a16:creationId xmlns:a16="http://schemas.microsoft.com/office/drawing/2014/main" id="{00000000-0008-0000-0000-00000A000000}"/>
            </a:ext>
          </a:extLst>
        </xdr:cNvPr>
        <xdr:cNvSpPr/>
      </xdr:nvSpPr>
      <xdr:spPr>
        <a:xfrm>
          <a:off x="8534400" y="457200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240</xdr:row>
      <xdr:rowOff>0</xdr:rowOff>
    </xdr:from>
    <xdr:ext cx="0" cy="26035"/>
    <xdr:sp macro="" textlink="">
      <xdr:nvSpPr>
        <xdr:cNvPr id="11" name="Shape 3">
          <a:extLst>
            <a:ext uri="{FF2B5EF4-FFF2-40B4-BE49-F238E27FC236}">
              <a16:creationId xmlns:a16="http://schemas.microsoft.com/office/drawing/2014/main" id="{00000000-0008-0000-0000-00000B000000}"/>
            </a:ext>
          </a:extLst>
        </xdr:cNvPr>
        <xdr:cNvSpPr/>
      </xdr:nvSpPr>
      <xdr:spPr>
        <a:xfrm>
          <a:off x="8534400" y="457200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240</xdr:row>
      <xdr:rowOff>0</xdr:rowOff>
    </xdr:from>
    <xdr:ext cx="0" cy="40005"/>
    <xdr:sp macro="" textlink="">
      <xdr:nvSpPr>
        <xdr:cNvPr id="12" name="Shape 4">
          <a:extLst>
            <a:ext uri="{FF2B5EF4-FFF2-40B4-BE49-F238E27FC236}">
              <a16:creationId xmlns:a16="http://schemas.microsoft.com/office/drawing/2014/main" id="{00000000-0008-0000-0000-00000C000000}"/>
            </a:ext>
          </a:extLst>
        </xdr:cNvPr>
        <xdr:cNvSpPr/>
      </xdr:nvSpPr>
      <xdr:spPr>
        <a:xfrm>
          <a:off x="8534400" y="457200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240</xdr:row>
      <xdr:rowOff>0</xdr:rowOff>
    </xdr:from>
    <xdr:ext cx="0" cy="26035"/>
    <xdr:sp macro="" textlink="">
      <xdr:nvSpPr>
        <xdr:cNvPr id="13" name="Shape 3">
          <a:extLst>
            <a:ext uri="{FF2B5EF4-FFF2-40B4-BE49-F238E27FC236}">
              <a16:creationId xmlns:a16="http://schemas.microsoft.com/office/drawing/2014/main" id="{00000000-0008-0000-0000-00000D000000}"/>
            </a:ext>
          </a:extLst>
        </xdr:cNvPr>
        <xdr:cNvSpPr/>
      </xdr:nvSpPr>
      <xdr:spPr>
        <a:xfrm>
          <a:off x="8534400" y="457200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240</xdr:row>
      <xdr:rowOff>0</xdr:rowOff>
    </xdr:from>
    <xdr:ext cx="0" cy="40005"/>
    <xdr:sp macro="" textlink="">
      <xdr:nvSpPr>
        <xdr:cNvPr id="14" name="Shape 4">
          <a:extLst>
            <a:ext uri="{FF2B5EF4-FFF2-40B4-BE49-F238E27FC236}">
              <a16:creationId xmlns:a16="http://schemas.microsoft.com/office/drawing/2014/main" id="{00000000-0008-0000-0000-00000E000000}"/>
            </a:ext>
          </a:extLst>
        </xdr:cNvPr>
        <xdr:cNvSpPr/>
      </xdr:nvSpPr>
      <xdr:spPr>
        <a:xfrm>
          <a:off x="8534400" y="457200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8</xdr:row>
      <xdr:rowOff>0</xdr:rowOff>
    </xdr:from>
    <xdr:ext cx="0" cy="26035"/>
    <xdr:sp macro="" textlink="">
      <xdr:nvSpPr>
        <xdr:cNvPr id="15" name="Shape 3">
          <a:extLst>
            <a:ext uri="{FF2B5EF4-FFF2-40B4-BE49-F238E27FC236}">
              <a16:creationId xmlns:a16="http://schemas.microsoft.com/office/drawing/2014/main" id="{00000000-0008-0000-0000-00000F000000}"/>
            </a:ext>
          </a:extLst>
        </xdr:cNvPr>
        <xdr:cNvSpPr/>
      </xdr:nvSpPr>
      <xdr:spPr>
        <a:xfrm>
          <a:off x="8534400" y="15240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8</xdr:row>
      <xdr:rowOff>0</xdr:rowOff>
    </xdr:from>
    <xdr:ext cx="0" cy="40005"/>
    <xdr:sp macro="" textlink="">
      <xdr:nvSpPr>
        <xdr:cNvPr id="16" name="Shape 4">
          <a:extLst>
            <a:ext uri="{FF2B5EF4-FFF2-40B4-BE49-F238E27FC236}">
              <a16:creationId xmlns:a16="http://schemas.microsoft.com/office/drawing/2014/main" id="{00000000-0008-0000-0000-000010000000}"/>
            </a:ext>
          </a:extLst>
        </xdr:cNvPr>
        <xdr:cNvSpPr/>
      </xdr:nvSpPr>
      <xdr:spPr>
        <a:xfrm>
          <a:off x="8534400" y="15240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239</xdr:row>
      <xdr:rowOff>0</xdr:rowOff>
    </xdr:from>
    <xdr:ext cx="0" cy="26035"/>
    <xdr:sp macro="" textlink="">
      <xdr:nvSpPr>
        <xdr:cNvPr id="17" name="Shape 3">
          <a:extLst>
            <a:ext uri="{FF2B5EF4-FFF2-40B4-BE49-F238E27FC236}">
              <a16:creationId xmlns:a16="http://schemas.microsoft.com/office/drawing/2014/main" id="{00000000-0008-0000-0000-000011000000}"/>
            </a:ext>
          </a:extLst>
        </xdr:cNvPr>
        <xdr:cNvSpPr/>
      </xdr:nvSpPr>
      <xdr:spPr>
        <a:xfrm>
          <a:off x="8534400" y="455295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239</xdr:row>
      <xdr:rowOff>0</xdr:rowOff>
    </xdr:from>
    <xdr:ext cx="0" cy="40005"/>
    <xdr:sp macro="" textlink="">
      <xdr:nvSpPr>
        <xdr:cNvPr id="18" name="Shape 4">
          <a:extLst>
            <a:ext uri="{FF2B5EF4-FFF2-40B4-BE49-F238E27FC236}">
              <a16:creationId xmlns:a16="http://schemas.microsoft.com/office/drawing/2014/main" id="{00000000-0008-0000-0000-000012000000}"/>
            </a:ext>
          </a:extLst>
        </xdr:cNvPr>
        <xdr:cNvSpPr/>
      </xdr:nvSpPr>
      <xdr:spPr>
        <a:xfrm>
          <a:off x="8534400" y="455295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239</xdr:row>
      <xdr:rowOff>0</xdr:rowOff>
    </xdr:from>
    <xdr:ext cx="0" cy="26035"/>
    <xdr:sp macro="" textlink="">
      <xdr:nvSpPr>
        <xdr:cNvPr id="19" name="Shape 3">
          <a:extLst>
            <a:ext uri="{FF2B5EF4-FFF2-40B4-BE49-F238E27FC236}">
              <a16:creationId xmlns:a16="http://schemas.microsoft.com/office/drawing/2014/main" id="{00000000-0008-0000-0000-000013000000}"/>
            </a:ext>
          </a:extLst>
        </xdr:cNvPr>
        <xdr:cNvSpPr/>
      </xdr:nvSpPr>
      <xdr:spPr>
        <a:xfrm>
          <a:off x="8534400" y="455295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239</xdr:row>
      <xdr:rowOff>0</xdr:rowOff>
    </xdr:from>
    <xdr:ext cx="0" cy="40005"/>
    <xdr:sp macro="" textlink="">
      <xdr:nvSpPr>
        <xdr:cNvPr id="20" name="Shape 4">
          <a:extLst>
            <a:ext uri="{FF2B5EF4-FFF2-40B4-BE49-F238E27FC236}">
              <a16:creationId xmlns:a16="http://schemas.microsoft.com/office/drawing/2014/main" id="{00000000-0008-0000-0000-000014000000}"/>
            </a:ext>
          </a:extLst>
        </xdr:cNvPr>
        <xdr:cNvSpPr/>
      </xdr:nvSpPr>
      <xdr:spPr>
        <a:xfrm>
          <a:off x="8534400" y="455295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239</xdr:row>
      <xdr:rowOff>0</xdr:rowOff>
    </xdr:from>
    <xdr:ext cx="0" cy="26035"/>
    <xdr:sp macro="" textlink="">
      <xdr:nvSpPr>
        <xdr:cNvPr id="21" name="Shape 3">
          <a:extLst>
            <a:ext uri="{FF2B5EF4-FFF2-40B4-BE49-F238E27FC236}">
              <a16:creationId xmlns:a16="http://schemas.microsoft.com/office/drawing/2014/main" id="{00000000-0008-0000-0000-000015000000}"/>
            </a:ext>
          </a:extLst>
        </xdr:cNvPr>
        <xdr:cNvSpPr/>
      </xdr:nvSpPr>
      <xdr:spPr>
        <a:xfrm>
          <a:off x="8534400" y="455295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239</xdr:row>
      <xdr:rowOff>0</xdr:rowOff>
    </xdr:from>
    <xdr:ext cx="0" cy="40005"/>
    <xdr:sp macro="" textlink="">
      <xdr:nvSpPr>
        <xdr:cNvPr id="22" name="Shape 4">
          <a:extLst>
            <a:ext uri="{FF2B5EF4-FFF2-40B4-BE49-F238E27FC236}">
              <a16:creationId xmlns:a16="http://schemas.microsoft.com/office/drawing/2014/main" id="{00000000-0008-0000-0000-000016000000}"/>
            </a:ext>
          </a:extLst>
        </xdr:cNvPr>
        <xdr:cNvSpPr/>
      </xdr:nvSpPr>
      <xdr:spPr>
        <a:xfrm>
          <a:off x="8534400" y="455295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239</xdr:row>
      <xdr:rowOff>0</xdr:rowOff>
    </xdr:from>
    <xdr:ext cx="0" cy="26035"/>
    <xdr:sp macro="" textlink="">
      <xdr:nvSpPr>
        <xdr:cNvPr id="23" name="Shape 3">
          <a:extLst>
            <a:ext uri="{FF2B5EF4-FFF2-40B4-BE49-F238E27FC236}">
              <a16:creationId xmlns:a16="http://schemas.microsoft.com/office/drawing/2014/main" id="{00000000-0008-0000-0000-000017000000}"/>
            </a:ext>
          </a:extLst>
        </xdr:cNvPr>
        <xdr:cNvSpPr/>
      </xdr:nvSpPr>
      <xdr:spPr>
        <a:xfrm>
          <a:off x="8534400" y="455295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239</xdr:row>
      <xdr:rowOff>0</xdr:rowOff>
    </xdr:from>
    <xdr:ext cx="0" cy="40005"/>
    <xdr:sp macro="" textlink="">
      <xdr:nvSpPr>
        <xdr:cNvPr id="24" name="Shape 4">
          <a:extLst>
            <a:ext uri="{FF2B5EF4-FFF2-40B4-BE49-F238E27FC236}">
              <a16:creationId xmlns:a16="http://schemas.microsoft.com/office/drawing/2014/main" id="{00000000-0008-0000-0000-000018000000}"/>
            </a:ext>
          </a:extLst>
        </xdr:cNvPr>
        <xdr:cNvSpPr/>
      </xdr:nvSpPr>
      <xdr:spPr>
        <a:xfrm>
          <a:off x="8534400" y="455295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oneCellAnchor>
    <xdr:from>
      <xdr:col>14</xdr:col>
      <xdr:colOff>0</xdr:colOff>
      <xdr:row>239</xdr:row>
      <xdr:rowOff>0</xdr:rowOff>
    </xdr:from>
    <xdr:ext cx="0" cy="26035"/>
    <xdr:sp macro="" textlink="">
      <xdr:nvSpPr>
        <xdr:cNvPr id="25" name="Shape 3">
          <a:extLst>
            <a:ext uri="{FF2B5EF4-FFF2-40B4-BE49-F238E27FC236}">
              <a16:creationId xmlns:a16="http://schemas.microsoft.com/office/drawing/2014/main" id="{00000000-0008-0000-0000-000019000000}"/>
            </a:ext>
          </a:extLst>
        </xdr:cNvPr>
        <xdr:cNvSpPr/>
      </xdr:nvSpPr>
      <xdr:spPr>
        <a:xfrm>
          <a:off x="8534400" y="45529500"/>
          <a:ext cx="0" cy="26035"/>
        </a:xfrm>
        <a:custGeom>
          <a:avLst/>
          <a:gdLst/>
          <a:ahLst/>
          <a:cxnLst/>
          <a:rect l="0" t="0" r="0" b="0"/>
          <a:pathLst>
            <a:path h="26034">
              <a:moveTo>
                <a:pt x="0" y="0"/>
              </a:moveTo>
              <a:lnTo>
                <a:pt x="0" y="25857"/>
              </a:lnTo>
            </a:path>
          </a:pathLst>
        </a:custGeom>
        <a:ln w="12191">
          <a:solidFill>
            <a:srgbClr val="000000"/>
          </a:solidFill>
        </a:ln>
      </xdr:spPr>
    </xdr:sp>
    <xdr:clientData/>
  </xdr:oneCellAnchor>
  <xdr:oneCellAnchor>
    <xdr:from>
      <xdr:col>14</xdr:col>
      <xdr:colOff>0</xdr:colOff>
      <xdr:row>239</xdr:row>
      <xdr:rowOff>0</xdr:rowOff>
    </xdr:from>
    <xdr:ext cx="0" cy="40005"/>
    <xdr:sp macro="" textlink="">
      <xdr:nvSpPr>
        <xdr:cNvPr id="26" name="Shape 4">
          <a:extLst>
            <a:ext uri="{FF2B5EF4-FFF2-40B4-BE49-F238E27FC236}">
              <a16:creationId xmlns:a16="http://schemas.microsoft.com/office/drawing/2014/main" id="{00000000-0008-0000-0000-00001A000000}"/>
            </a:ext>
          </a:extLst>
        </xdr:cNvPr>
        <xdr:cNvSpPr/>
      </xdr:nvSpPr>
      <xdr:spPr>
        <a:xfrm>
          <a:off x="8534400" y="45529500"/>
          <a:ext cx="0" cy="40005"/>
        </a:xfrm>
        <a:custGeom>
          <a:avLst/>
          <a:gdLst/>
          <a:ahLst/>
          <a:cxnLst/>
          <a:rect l="0" t="0" r="0" b="0"/>
          <a:pathLst>
            <a:path h="40005">
              <a:moveTo>
                <a:pt x="0" y="0"/>
              </a:moveTo>
              <a:lnTo>
                <a:pt x="0" y="39573"/>
              </a:lnTo>
            </a:path>
          </a:pathLst>
        </a:custGeom>
        <a:ln w="12192">
          <a:solidFill>
            <a:srgbClr val="000000"/>
          </a:solidFill>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RNANDO/QUADRA%20FARROUPILHA/ATUALIZADO%20EM%2018.07.2022%20PROCESSO%202022.07.9843/Or&#231;amento%20FINAL%200809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sheetName val="MEMORIAL DE CÁLCULO"/>
      <sheetName val="COMPOSIÇÕES PRÓPRIAS"/>
      <sheetName val="QUANTITATIVOS"/>
      <sheetName val="ELÉTRICO"/>
      <sheetName val="COTAÇÕES"/>
      <sheetName val="Itens a serem analisados"/>
      <sheetName val="PERFIL"/>
      <sheetName val="MATERIAL + MÃO DE OBRA (2)"/>
    </sheetNames>
    <sheetDataSet>
      <sheetData sheetId="0" refreshError="1"/>
      <sheetData sheetId="1">
        <row r="5">
          <cell r="D5" t="str">
            <v>PLACA DE OBRA DE AÇO GALVANIZADO PADRÃO GOVERNO FEDERAL</v>
          </cell>
          <cell r="E5">
            <v>3</v>
          </cell>
        </row>
        <row r="7">
          <cell r="D7" t="str">
            <v xml:space="preserve">LOCAÇÃO DE OBRA </v>
          </cell>
          <cell r="E7">
            <v>149.5</v>
          </cell>
        </row>
        <row r="12">
          <cell r="D12" t="str">
            <v xml:space="preserve">LIMPEZA MECANIZADA DE CAMADA VEGETAL </v>
          </cell>
          <cell r="E12">
            <v>346.65999999999997</v>
          </cell>
        </row>
        <row r="13">
          <cell r="D13" t="str">
            <v>REMOÇÃO DE TELA  LATERAL QUADRA DE VOLEI</v>
          </cell>
          <cell r="E13">
            <v>40</v>
          </cell>
        </row>
        <row r="16">
          <cell r="C16">
            <v>100896</v>
          </cell>
          <cell r="D16" t="str">
            <v>ESTACA ESCAVADA MECANICAMENTE, SEM FLUIDO ESTABILIZANTE, COM 25CM DE DIÂMETRO, CONCRETO LANÇADO POR CAMINHÃO BETONEIRA (EXCLUSIVE MOBILIZAÇÃO E DESMOBILIZAÇÃO).</v>
          </cell>
          <cell r="E16">
            <v>144</v>
          </cell>
        </row>
        <row r="17">
          <cell r="C17">
            <v>95577</v>
          </cell>
          <cell r="D17" t="str">
            <v>MONTAGEM DE ARMADURA DE ESTACAS, DIÂMETRO = 10,0 MM.</v>
          </cell>
          <cell r="E17">
            <v>216.7</v>
          </cell>
        </row>
        <row r="18">
          <cell r="C18">
            <v>96524</v>
          </cell>
          <cell r="D18" t="str">
            <v>ESCAVAÇÃO MECANIZADA PARA VIGA BALDRAME COM MINI-ESCAVADEIRA (SEM ESCAVAÇÃO PARA COLOCAÇÃO DE FÔRMAS). Vigas de 20x30</v>
          </cell>
          <cell r="E18">
            <v>16.8</v>
          </cell>
        </row>
        <row r="19">
          <cell r="C19">
            <v>96536</v>
          </cell>
          <cell r="D19" t="str">
            <v>FABRICAÇÃO, MONTAGEM E DESMONTAGEM DE FÔRMA PARA VIGA BALDRAME, EM MADEIRA SERRADA, E=25 MM, 4 UTILIZAÇÕES.</v>
          </cell>
          <cell r="E19">
            <v>224</v>
          </cell>
        </row>
        <row r="20">
          <cell r="C20">
            <v>96616</v>
          </cell>
          <cell r="D20" t="str">
            <v xml:space="preserve">LASTRO DE CONCRETO MAGRO </v>
          </cell>
          <cell r="E20">
            <v>2.8000000000000003</v>
          </cell>
        </row>
        <row r="21">
          <cell r="C21">
            <v>96543</v>
          </cell>
          <cell r="D21" t="str">
            <v>ARMAÇÃO DE VIGA BALDRAME AÇO CA60 5MM</v>
          </cell>
          <cell r="E21">
            <v>277.66200000000003</v>
          </cell>
        </row>
        <row r="22">
          <cell r="C22">
            <v>96546</v>
          </cell>
          <cell r="D22" t="str">
            <v>ARMAÇÃO DE VIGA BALDRAME AÇO CA50 10MM</v>
          </cell>
          <cell r="E22">
            <v>902.49824000000001</v>
          </cell>
        </row>
        <row r="23">
          <cell r="E23">
            <v>16.8</v>
          </cell>
        </row>
        <row r="24">
          <cell r="E24">
            <v>224</v>
          </cell>
        </row>
        <row r="28">
          <cell r="C28">
            <v>92443</v>
          </cell>
          <cell r="D28" t="str">
            <v>MONTAGEM E DESMONTAGEM DE FÔRMA DE PILARES RETANGULARES E ESTRUTURAS SIMILARES, PÉ-DIREITO SIMPLES, EM CHAPA DE MADEIRA COMPENSADA PLASTIFICADA, 18 UTILIZAÇÕES.</v>
          </cell>
          <cell r="E28">
            <v>207.12800000000004</v>
          </cell>
        </row>
        <row r="29">
          <cell r="D29" t="str">
            <v>ARMAÇÃO DE PILAR DE UMA ESTRUTURA CONVENCIONAL DE CONCRETO ARMADO UTILIZANDO AÇO CA-60 DE 5,0 MM - MONTAGEM.</v>
          </cell>
          <cell r="E29">
            <v>102.26216000000001</v>
          </cell>
          <cell r="F29" t="str">
            <v>kg</v>
          </cell>
        </row>
        <row r="30">
          <cell r="D30" t="str">
            <v>ARMAÇÃO DE PILAR DE UMA ESTRUTURA CONVENCIONAL DE CONCRETO ARMADO UTILIZANDO AÇO CA-50 DE 10,0 MM - MONTAGEM.</v>
          </cell>
          <cell r="E30">
            <v>480.64299999999997</v>
          </cell>
          <cell r="F30" t="str">
            <v>kg</v>
          </cell>
        </row>
        <row r="31">
          <cell r="D31" t="str">
            <v xml:space="preserve">CONCRETAGEM DE PILARES, FCK = 25 MPA, COM USO DE BOMBA EM EDIFICAÇÃO </v>
          </cell>
          <cell r="E31">
            <v>13.020800000000001</v>
          </cell>
        </row>
        <row r="33">
          <cell r="C33">
            <v>92448</v>
          </cell>
          <cell r="D33" t="str">
            <v>MONTAGEM E DESMONTAGEM DE FÔRMA DE VIGA, ESCORAMENTO COM PONTALETE DE MADEIRA, PÉ-DIREITO SIMPLES, EM MADEIRA SERRADA, 4 UTILIZAÇÕES</v>
          </cell>
          <cell r="E33">
            <v>178.95499999999998</v>
          </cell>
        </row>
        <row r="34">
          <cell r="D34" t="str">
            <v>ARMAÇÃO DE VIGA DE UMA ESTRUTURA CONVENCIONAL DE CONCRETO ARMADO UTILIZANDO AÇO CA-60 DE 5,0 MM - MONTAGEM.</v>
          </cell>
          <cell r="E34">
            <v>173.46560000000002</v>
          </cell>
          <cell r="F34" t="str">
            <v>kg</v>
          </cell>
        </row>
        <row r="35">
          <cell r="D35" t="str">
            <v>ARMAÇÃO DE VIGA DE UMA ESTRUTURA CONVENCIONAL DE CONCRETO ARMADO UTILIZANDO AÇO CA-50 DE 10,0 MM - MONTAGEM.</v>
          </cell>
          <cell r="E35">
            <v>631.80799999999999</v>
          </cell>
          <cell r="F35" t="str">
            <v>kg</v>
          </cell>
        </row>
        <row r="36">
          <cell r="E36">
            <v>15.36</v>
          </cell>
        </row>
        <row r="38">
          <cell r="C38">
            <v>97084</v>
          </cell>
          <cell r="D38" t="str">
            <v>COMPACTAÇÃO MECÂNICA DE SOLO PARA EXECUÇÃO DE RADIER, PISO DE CONCRETO OU LAJE SOBRE SOLO, COM COMPACTADOR DE SOLOS TIPO PLACA VIBRATÓRIA.</v>
          </cell>
          <cell r="E38">
            <v>53</v>
          </cell>
        </row>
        <row r="39">
          <cell r="C39">
            <v>97102</v>
          </cell>
          <cell r="D39" t="str">
            <v>EXECUÇÃO DE RADIER, ESPESSURA DE 15 CM, FCK = 30 MPA, COM USO DE FORMAS EM MADEIRA SERRADA.</v>
          </cell>
          <cell r="E39">
            <v>53</v>
          </cell>
        </row>
        <row r="40">
          <cell r="E40">
            <v>14</v>
          </cell>
        </row>
        <row r="41">
          <cell r="E41">
            <v>60</v>
          </cell>
        </row>
        <row r="42">
          <cell r="E42">
            <v>60</v>
          </cell>
        </row>
        <row r="43">
          <cell r="E43">
            <v>39</v>
          </cell>
        </row>
        <row r="44">
          <cell r="E44">
            <v>64</v>
          </cell>
        </row>
        <row r="45">
          <cell r="E45">
            <v>64</v>
          </cell>
        </row>
        <row r="55">
          <cell r="D55" t="str">
            <v>ALVENARIA DE VEDAÇÃO DE BLOCOS CERÂMICOS FURADOS NA HORIZONTAL DE 14X9X19CM (ESPESSURA 14CM, BLOCO DEITADO)</v>
          </cell>
          <cell r="E55">
            <v>394.22</v>
          </cell>
        </row>
        <row r="56">
          <cell r="C56">
            <v>93187</v>
          </cell>
          <cell r="D56" t="str">
            <v>VERGA MOLDADA IN LOCO EM CONCRETO PARA JANELAS COM MAIS DE 1,5 M DE VÃO.</v>
          </cell>
          <cell r="E56">
            <v>31.6</v>
          </cell>
          <cell r="F56" t="str">
            <v>m</v>
          </cell>
        </row>
        <row r="57">
          <cell r="C57">
            <v>93197</v>
          </cell>
          <cell r="D57" t="str">
            <v xml:space="preserve">CONTRAVERGA MOLDADA IN LOCO EM CONCRETO PARA VÃOS DE MAIS DE 1,5 M DE COMPRIMENTO. </v>
          </cell>
          <cell r="E57">
            <v>31.6</v>
          </cell>
          <cell r="F57" t="str">
            <v>m</v>
          </cell>
        </row>
        <row r="58">
          <cell r="C58">
            <v>93188</v>
          </cell>
          <cell r="D58" t="str">
            <v>VERGA MOLDADA IN LOCO EM CONCRETO PARA PORTAS COM ATÉ 1,5 M DE VÃO.</v>
          </cell>
          <cell r="E58">
            <v>30</v>
          </cell>
          <cell r="F58" t="str">
            <v>m</v>
          </cell>
        </row>
        <row r="59">
          <cell r="C59">
            <v>101162</v>
          </cell>
          <cell r="D59" t="str">
            <v>ALVENARIA DE VEDAÇÃO COM ELEMENTO VAZADO DE CERÂMICA (COBOGÓ) DE 7X20X20CM E ARGAMASSA DE ASSENTAMENTO COM PREPARO EM BETONEIRA.</v>
          </cell>
          <cell r="E59">
            <v>107</v>
          </cell>
        </row>
        <row r="61">
          <cell r="C61">
            <v>94573</v>
          </cell>
          <cell r="D61" t="str">
            <v xml:space="preserve">JANELA DE ALUMÍNIO DE CORRER COM 4 FOLHAS PARA VIDROS, COM VIDROS, BATENTE, ACABAMENTO COM ACETATO OU BRILHANTE E FERRAGENS. EXCLUSIVE ALIZAR E CONTRAMARCO. FORNECIMENTO E INSTALAÇÃO. </v>
          </cell>
          <cell r="E61">
            <v>15</v>
          </cell>
          <cell r="F61" t="str">
            <v>m2</v>
          </cell>
        </row>
        <row r="62">
          <cell r="C62">
            <v>94569</v>
          </cell>
          <cell r="D62" t="str">
            <v>JANELA DE ALUMÍNIO TIPO MAXIM-AR, COM VIDROS, BATENTE E FERRAGENS. EXCLUSIVE ALIZAR, ACABAMENTO E CONTRAMARCO. FORNECIMENTO E INSTALAÇÃO.</v>
          </cell>
          <cell r="E62">
            <v>3.5999999999999996</v>
          </cell>
          <cell r="F62" t="str">
            <v>m2</v>
          </cell>
        </row>
        <row r="63">
          <cell r="C63">
            <v>91338</v>
          </cell>
          <cell r="D63" t="str">
            <v>PORTA DE ALUMÍNIO DE ABRIR COM LAMBRI PORTAS EXTERNAS, ACABAMENTO COM PINTURA ELETROESTÁTICA BRANCA, COM GUARNIÇÃO, FIXAÇÃO COM PARAFUSOS - FORNECIMENTO E INSTALAÇÃO.</v>
          </cell>
          <cell r="E63">
            <v>9.4499999999999993</v>
          </cell>
          <cell r="F63" t="str">
            <v>m2</v>
          </cell>
        </row>
        <row r="64">
          <cell r="E64">
            <v>7.56</v>
          </cell>
        </row>
        <row r="65">
          <cell r="E65">
            <v>54.3</v>
          </cell>
        </row>
        <row r="66">
          <cell r="D66" t="str">
            <v>FECHADURA ESPELHO PARA PORTA EXTERNA, EM ACO INOX (MAQUINA, TESTA E CONTRA-TESTA) E EM ZAMAC (MACANETA, LINGUETA E TRINCOS) COM ACABAMENTO CROMADO, MAQUINA DE 40 MM, INCLUINDO CHAVE TIPO CILINDRO</v>
          </cell>
          <cell r="E66">
            <v>11</v>
          </cell>
          <cell r="F66" t="str">
            <v>UN</v>
          </cell>
        </row>
        <row r="69">
          <cell r="E69">
            <v>471</v>
          </cell>
        </row>
        <row r="70">
          <cell r="E70">
            <v>271</v>
          </cell>
        </row>
        <row r="71">
          <cell r="E71">
            <v>200</v>
          </cell>
        </row>
        <row r="72">
          <cell r="E72">
            <v>55</v>
          </cell>
          <cell r="F72" t="str">
            <v>UN</v>
          </cell>
        </row>
        <row r="75">
          <cell r="C75">
            <v>87879</v>
          </cell>
          <cell r="D75" t="str">
            <v xml:space="preserve">CHAPISCO 1:3 EM PAREDES </v>
          </cell>
          <cell r="E75">
            <v>778</v>
          </cell>
        </row>
        <row r="76">
          <cell r="C76">
            <v>87529</v>
          </cell>
          <cell r="D76" t="str">
            <v>MASSA ÚNICA PARA RECEBIMENTO DE PINTURA, TRAÇO 1:2:8 COM EXECUÇÃO DE TALISCAS</v>
          </cell>
          <cell r="E76">
            <v>778</v>
          </cell>
        </row>
        <row r="77">
          <cell r="C77">
            <v>87528</v>
          </cell>
          <cell r="D77" t="str">
            <v>EMBOÇO, PARA RECEBIMENTO DE CERÂMICA, EM ARGAMASSA TRAÇO 1:2:8,</v>
          </cell>
          <cell r="E77">
            <v>87</v>
          </cell>
        </row>
        <row r="78">
          <cell r="C78">
            <v>87264</v>
          </cell>
          <cell r="D78" t="str">
            <v>REVESTIMENTO CERÂMICO PARA PAREDES INTERNAS COM PLACAS TIPO ESMALTADA EXTRA DE DIMENSÕES 20X20 CM</v>
          </cell>
          <cell r="E78">
            <v>87</v>
          </cell>
        </row>
        <row r="80">
          <cell r="E80">
            <v>78.800000000000011</v>
          </cell>
        </row>
        <row r="81">
          <cell r="E81">
            <v>39.400000000000006</v>
          </cell>
        </row>
        <row r="82">
          <cell r="E82">
            <v>28</v>
          </cell>
        </row>
        <row r="83">
          <cell r="E83">
            <v>19.8</v>
          </cell>
        </row>
        <row r="84">
          <cell r="E84">
            <v>28</v>
          </cell>
        </row>
        <row r="85">
          <cell r="E85">
            <v>43</v>
          </cell>
        </row>
        <row r="86">
          <cell r="E86">
            <v>430</v>
          </cell>
        </row>
        <row r="87">
          <cell r="E87">
            <v>380</v>
          </cell>
        </row>
        <row r="88">
          <cell r="E88">
            <v>487</v>
          </cell>
        </row>
        <row r="89">
          <cell r="C89" t="str">
            <v>PINTURA</v>
          </cell>
        </row>
        <row r="91">
          <cell r="C91">
            <v>88495</v>
          </cell>
          <cell r="D91" t="str">
            <v>APLICAÇÃO E LIXAMENTO DE MASSA LÁTEX EM PAREDES, UMA DEMÃO.</v>
          </cell>
          <cell r="E91">
            <v>517</v>
          </cell>
        </row>
        <row r="92">
          <cell r="C92">
            <v>88485</v>
          </cell>
          <cell r="D92" t="str">
            <v>APLICAÇÃO DE FUNDO SELADOR ACRÍLICO EM PAREDES, UMA DEMÃO.</v>
          </cell>
          <cell r="E92">
            <v>1683</v>
          </cell>
        </row>
        <row r="93">
          <cell r="C93">
            <v>88489</v>
          </cell>
          <cell r="D93" t="str">
            <v>APLICAÇÃO MANUAL DE PINTURA COM TINTA LÁTEX ACRÍLICA EM PAREDES, DUAS DEMÃOS.</v>
          </cell>
          <cell r="E93">
            <v>1683</v>
          </cell>
        </row>
        <row r="95">
          <cell r="C95">
            <v>102504</v>
          </cell>
          <cell r="D95" t="str">
            <v>PINTURA DE DEMARCAÇÃO DE QUADRA POLIESPORTIVA COM BORRACHA CLORADA, E = 5CM, APLICAÇÃO MANUAL.</v>
          </cell>
          <cell r="E95">
            <v>416</v>
          </cell>
        </row>
        <row r="96">
          <cell r="C96">
            <v>102494</v>
          </cell>
          <cell r="D96" t="str">
            <v>PINTURA DE PISO COM TINTA EPÓXI, APLICAÇÃO MANUAL, 2 DEMÃOS, INCLUSO PRIMER EPÓXI.</v>
          </cell>
        </row>
        <row r="98">
          <cell r="C98" t="str">
            <v>PLUVIAL</v>
          </cell>
        </row>
        <row r="99">
          <cell r="C99">
            <v>100327</v>
          </cell>
          <cell r="D99" t="str">
            <v>RUFO EXTERNO/INTERNO EM CHAPA DE AÇO GALVANIZADO NÚMERO 26, CORTE DE 33 CM , INCLUSO IÇAMENTO.</v>
          </cell>
          <cell r="E99">
            <v>145</v>
          </cell>
          <cell r="F99" t="str">
            <v>m</v>
          </cell>
        </row>
        <row r="100">
          <cell r="C100">
            <v>100327</v>
          </cell>
          <cell r="D100" t="str">
            <v>CALHA EM CHAPA DE AÇO GALVANIZADO NÚMERO 24, DESENVOLVIMENTO DE 50 CM, INCLUSO TRANSPORTE VERTICAL.</v>
          </cell>
          <cell r="E100">
            <v>266</v>
          </cell>
          <cell r="F100" t="str">
            <v>m</v>
          </cell>
        </row>
        <row r="101">
          <cell r="E101">
            <v>254</v>
          </cell>
        </row>
        <row r="102">
          <cell r="E102">
            <v>93</v>
          </cell>
        </row>
        <row r="103">
          <cell r="E103">
            <v>17</v>
          </cell>
        </row>
        <row r="104">
          <cell r="E104">
            <v>123</v>
          </cell>
        </row>
        <row r="105">
          <cell r="E105">
            <v>123</v>
          </cell>
        </row>
        <row r="106">
          <cell r="E106">
            <v>213</v>
          </cell>
        </row>
        <row r="107">
          <cell r="E107">
            <v>62.7</v>
          </cell>
        </row>
        <row r="108">
          <cell r="D108" t="str">
            <v>PREPARO DE FUNDO DE VALA COM LARGURA MENOR QUE 1,5 M, COM CAMADA DE BRITA, LANÇAMENTO MANUAL.</v>
          </cell>
          <cell r="E108">
            <v>16.8</v>
          </cell>
        </row>
        <row r="109">
          <cell r="E109">
            <v>54.005642331190252</v>
          </cell>
        </row>
        <row r="110">
          <cell r="E110">
            <v>8.6943576688097508</v>
          </cell>
        </row>
        <row r="112">
          <cell r="C112">
            <v>86931</v>
          </cell>
          <cell r="D112" t="str">
            <v>VASO SANITÁRIO SIFONADO COM CAIXA ACOPLADA LOUÇA BRANCA, INCLUSO ENGATE FLEXÍVEL EM PLÁSTICO BRANCO, 1/2 X 40CM - FORNECIMENTO E INSTALAÇÃO.</v>
          </cell>
          <cell r="E112">
            <v>4</v>
          </cell>
          <cell r="F112" t="str">
            <v xml:space="preserve">UN </v>
          </cell>
        </row>
        <row r="113">
          <cell r="C113">
            <v>95472</v>
          </cell>
          <cell r="D113" t="str">
            <v xml:space="preserve">VASO SANITARIO SIFONADO CONVENCIONAL PARA PCD SEM FURO FRONTAL COM LOUÇA BRANCA SEM ASSENTO, INCLUSO CONJUNTO DE LIGAÇÃO PARA BACIA SANITÁRIA AJUSTÁVEL - FORNECIMENTO E INSTALAÇÃO. </v>
          </cell>
          <cell r="E113">
            <v>2</v>
          </cell>
          <cell r="F113" t="str">
            <v xml:space="preserve">UN </v>
          </cell>
        </row>
        <row r="114">
          <cell r="C114">
            <v>100849</v>
          </cell>
          <cell r="D114" t="str">
            <v>ASSENTO SANITÁRIO CONVENCIONAL - FORNECIMENTO E INSTALACAO.</v>
          </cell>
          <cell r="E114">
            <v>6</v>
          </cell>
          <cell r="F114" t="str">
            <v xml:space="preserve">UN </v>
          </cell>
        </row>
        <row r="115">
          <cell r="C115">
            <v>100874</v>
          </cell>
          <cell r="D115" t="str">
            <v xml:space="preserve">PUXADOR PARA PCD, FIXADO NA PORTA - FORNECIMENTO E INSTALAÇÃO. </v>
          </cell>
          <cell r="E115">
            <v>2</v>
          </cell>
          <cell r="F115" t="str">
            <v xml:space="preserve">UN </v>
          </cell>
        </row>
        <row r="116">
          <cell r="C116">
            <v>86904</v>
          </cell>
          <cell r="D116" t="str">
            <v xml:space="preserve">LAVATÓRIO LOUÇA BRANCA SUSPENSO, 29,5 X 39CM OU EQUIVALENTE, PADRÃO POPULAR - FORNECIMENTO E INSTALAÇÃO. </v>
          </cell>
          <cell r="E116">
            <v>2</v>
          </cell>
          <cell r="F116" t="str">
            <v xml:space="preserve">UN </v>
          </cell>
        </row>
        <row r="117">
          <cell r="E117">
            <v>2</v>
          </cell>
          <cell r="F117" t="str">
            <v xml:space="preserve">UN </v>
          </cell>
        </row>
        <row r="118">
          <cell r="C118">
            <v>86906</v>
          </cell>
          <cell r="D118" t="str">
            <v xml:space="preserve">TORNEIRA CROMADA DE MESA, 1/2 OU 3/4, PARA LAVATÓRIO, PADRÃO POPULAR - FORNECIMENTO E INSTALAÇÃO. </v>
          </cell>
          <cell r="E118">
            <v>2</v>
          </cell>
          <cell r="F118" t="str">
            <v xml:space="preserve">UN </v>
          </cell>
        </row>
        <row r="119">
          <cell r="C119">
            <v>100860</v>
          </cell>
          <cell r="D119" t="str">
            <v xml:space="preserve">CHUVEIRO ELÉTRICO COMUM CORPO PLÁSTICO, TIPO DUCHA FORNECIMENTO E INSTALAÇÃO. </v>
          </cell>
          <cell r="E119">
            <v>2</v>
          </cell>
          <cell r="F119" t="str">
            <v xml:space="preserve">UN </v>
          </cell>
        </row>
        <row r="120">
          <cell r="C120">
            <v>100868</v>
          </cell>
          <cell r="D120" t="str">
            <v>BARRA DE APOIO RETA, EM ACO INOX POLIDO, COMPRIMENTO 80 CM, FIXADA NA PAREDE - FORNECIMENTO E INSTALAÇÃO.</v>
          </cell>
          <cell r="E120">
            <v>4</v>
          </cell>
          <cell r="F120" t="str">
            <v xml:space="preserve">UN </v>
          </cell>
        </row>
        <row r="121">
          <cell r="E121">
            <v>2</v>
          </cell>
          <cell r="F121" t="str">
            <v xml:space="preserve">UN </v>
          </cell>
        </row>
        <row r="122">
          <cell r="C122">
            <v>95547</v>
          </cell>
          <cell r="D122" t="str">
            <v>SABONETEIRA PLASTICA TIPO DISPENSER PARA SABONETE LIQUIDO COM RESERVATORIO 800 A 1500 ML, INCLUSO FIXAÇÃO.</v>
          </cell>
          <cell r="E122">
            <v>4</v>
          </cell>
          <cell r="F122" t="str">
            <v xml:space="preserve">UN </v>
          </cell>
        </row>
        <row r="123">
          <cell r="C123">
            <v>95547</v>
          </cell>
          <cell r="D123" t="str">
            <v>SABONETEIRA PLASTICA TIPO DISPENSER PARA ALCOOL EM GEL COM RESERVATORIO 800 A 1500 ML, INCLUSO FIXAÇÃO.</v>
          </cell>
          <cell r="E123">
            <v>2</v>
          </cell>
          <cell r="F123" t="str">
            <v xml:space="preserve">UN </v>
          </cell>
        </row>
        <row r="124">
          <cell r="C124">
            <v>95544</v>
          </cell>
          <cell r="D124" t="str">
            <v>PAPELEIRA DE PAREDE EM PLASTICO, INCLUSO FIXAÇÃO.</v>
          </cell>
          <cell r="E124">
            <v>4</v>
          </cell>
          <cell r="F124" t="str">
            <v xml:space="preserve">UN </v>
          </cell>
        </row>
        <row r="126">
          <cell r="C126">
            <v>91785</v>
          </cell>
          <cell r="D126" t="str">
            <v>TUBOS DE PVC, SOLDÁVEL, ÁGUA FRIA, DN 25 MM (INSTALADO EM RAMAL, SUB-RAMAL, RAMAL DE DISTRIBUIÇÃO OU PRUMADA), INCLUSIVE CONEXÕES, CORTES E FIXAÇÕES</v>
          </cell>
          <cell r="E126">
            <v>50</v>
          </cell>
          <cell r="F126" t="str">
            <v>m</v>
          </cell>
        </row>
        <row r="127">
          <cell r="D127" t="str">
            <v xml:space="preserve">EXECUÇÃO DE RESERVATÓRIO DE ÁGUA (1000 LITROS) </v>
          </cell>
          <cell r="E127">
            <v>1</v>
          </cell>
          <cell r="F127" t="str">
            <v xml:space="preserve">UN </v>
          </cell>
        </row>
        <row r="128">
          <cell r="E128">
            <v>1</v>
          </cell>
          <cell r="F128" t="str">
            <v xml:space="preserve">UN </v>
          </cell>
        </row>
        <row r="129">
          <cell r="C129">
            <v>95673</v>
          </cell>
          <cell r="D129" t="str">
            <v>HIDRÔMETRO DN 20 (½), 1,5 M³/H FORNECIMENTO E INSTALAÇÃO.</v>
          </cell>
          <cell r="E129">
            <v>1</v>
          </cell>
          <cell r="F129" t="str">
            <v xml:space="preserve">UN </v>
          </cell>
        </row>
        <row r="130">
          <cell r="D130" t="str">
            <v>CAIXA PARA ENTRADA DE ÁGUA PADRÃO CORSAN INCLUSIVE MURETA</v>
          </cell>
          <cell r="E130">
            <v>1</v>
          </cell>
          <cell r="F130" t="str">
            <v xml:space="preserve">UN </v>
          </cell>
        </row>
        <row r="133">
          <cell r="D133" t="str">
            <v>SERVIÇO DE INSTALAÇÃO DE TUBO PVC, SÉRIE N, ESGOTO PREDIAL, DN 75 MM, (INST. EM RAMAL DE DESCARGA, RAMAL DE ESG. SANITÁRIO, PRUMADA DE ESG. SANITÁRIO OU VENTILAÇÃO), INCL. CONEXÕES, CORTES E FIXAÇÕES , P/ PRÉDIOS.</v>
          </cell>
          <cell r="E133">
            <v>14</v>
          </cell>
          <cell r="F133" t="str">
            <v>m</v>
          </cell>
        </row>
        <row r="134">
          <cell r="C134">
            <v>91795</v>
          </cell>
          <cell r="D134" t="str">
            <v>SERVIÇO DE INSTALAÇÃO DE TUBO PVC, SÉRIE N, ESGOTO PREDIAL, 100 MM (INST. RAMAL DESCARGA, RAMAL DE ESG. SANIT., PRUMADA ESG. SANIT., VENTILAÇÃO OU SUB-COLETOR AÉREO), INCL. CONEXÕES E CORTES, FIXAÇÕES, P/ PRÉDIOS.</v>
          </cell>
          <cell r="E134">
            <v>25</v>
          </cell>
          <cell r="F134" t="str">
            <v>m</v>
          </cell>
        </row>
        <row r="135">
          <cell r="C135">
            <v>97906</v>
          </cell>
          <cell r="D135" t="str">
            <v>CAIXA DE INPEÇÃO EM ALVENARIA DE TIJOLOS (9X14X19) COM DIMENSÕES INTERNAS DE 60X60X60, REVESTIDA INTERNAMENTO COM BARRA LISA (CIMENTO E AREIA, TRAÇO 1:4). E=2,0 CM, COM TAMPA PRÉ-MOLDADA DE CONCRETO E FUNDO DE CONCRETO 15 MPA (MATERIAL E EXECUÇÃO).</v>
          </cell>
          <cell r="E135">
            <v>2</v>
          </cell>
          <cell r="F135" t="str">
            <v xml:space="preserve">UN </v>
          </cell>
        </row>
        <row r="136">
          <cell r="C136">
            <v>89707</v>
          </cell>
          <cell r="D136" t="str">
            <v>CAIXA SIFONADA, PVC, DN 100 X 100 X 50 MM, JUNTA ELÁSTICA, FORNECIDA E INSTALADA EM RAMAL DE DESCARGA OU EM RAMAL DE ESGOTO SANITÁRIO.</v>
          </cell>
          <cell r="E136">
            <v>5</v>
          </cell>
          <cell r="F136" t="str">
            <v xml:space="preserve">UN </v>
          </cell>
        </row>
        <row r="137">
          <cell r="E137">
            <v>1</v>
          </cell>
          <cell r="F137" t="str">
            <v xml:space="preserve">UN </v>
          </cell>
        </row>
        <row r="138">
          <cell r="E138">
            <v>1</v>
          </cell>
          <cell r="F138" t="str">
            <v xml:space="preserve">UN </v>
          </cell>
        </row>
        <row r="139">
          <cell r="E139">
            <v>1</v>
          </cell>
          <cell r="F139" t="str">
            <v xml:space="preserve">UN </v>
          </cell>
        </row>
        <row r="140">
          <cell r="C140">
            <v>89495</v>
          </cell>
          <cell r="D140" t="str">
            <v xml:space="preserve">RALO SIFONADO, PVC, DN 100 X 40 MM, JUNTA SOLDÁVEL, FORNECIDO E INSTALADO EM RAMAIS DE ENCAMINHAMENTO DE ÁGUA PLUVIAL. </v>
          </cell>
          <cell r="E140">
            <v>2</v>
          </cell>
          <cell r="F140" t="str">
            <v xml:space="preserve">UN </v>
          </cell>
        </row>
        <row r="142">
          <cell r="E142">
            <v>5</v>
          </cell>
        </row>
        <row r="157">
          <cell r="E157">
            <v>43</v>
          </cell>
        </row>
        <row r="158">
          <cell r="E158">
            <v>180</v>
          </cell>
        </row>
        <row r="159">
          <cell r="E159">
            <v>8</v>
          </cell>
        </row>
        <row r="160">
          <cell r="E160">
            <v>20</v>
          </cell>
        </row>
        <row r="162">
          <cell r="E162">
            <v>10</v>
          </cell>
        </row>
        <row r="163">
          <cell r="E163">
            <v>24</v>
          </cell>
        </row>
        <row r="164">
          <cell r="E164">
            <v>46</v>
          </cell>
        </row>
        <row r="165">
          <cell r="E165">
            <v>30</v>
          </cell>
        </row>
        <row r="166">
          <cell r="E166">
            <v>2</v>
          </cell>
        </row>
        <row r="167">
          <cell r="E167">
            <v>4</v>
          </cell>
        </row>
        <row r="168">
          <cell r="E168">
            <v>4</v>
          </cell>
        </row>
        <row r="169">
          <cell r="E169">
            <v>1</v>
          </cell>
        </row>
        <row r="177">
          <cell r="C177">
            <v>96524</v>
          </cell>
          <cell r="D177" t="str">
            <v>ESCAVAÇÃO MECANIZADA PARA VIGA BALDRAME COM MINI-ESCAVADEIRA (SEM ESCAVAÇÃO PARA COLOCAÇÃO DE FÔRMAS). Vigas de 20x30</v>
          </cell>
          <cell r="E177">
            <v>1.7920000000000003</v>
          </cell>
        </row>
        <row r="178">
          <cell r="C178">
            <v>96536</v>
          </cell>
          <cell r="D178" t="str">
            <v>FABRICAÇÃO, MONTAGEM E DESMONTAGEM DE FÔRMA PARA VIGA BALDRAME, EM MADEIRA SERRADA, E=25 MM, 4 UTILIZAÇÕES.</v>
          </cell>
          <cell r="E178">
            <v>25.6</v>
          </cell>
        </row>
        <row r="179">
          <cell r="C179">
            <v>96616</v>
          </cell>
          <cell r="D179" t="str">
            <v xml:space="preserve">LASTRO DE CONCRETO MAGRO </v>
          </cell>
          <cell r="E179">
            <v>0.51200000000000012</v>
          </cell>
        </row>
        <row r="180">
          <cell r="C180">
            <v>96543</v>
          </cell>
          <cell r="D180" t="str">
            <v>ARMAÇÃO DE VIGA BALDRAME AÇO CA60 5MM</v>
          </cell>
          <cell r="E180">
            <v>17.34656</v>
          </cell>
          <cell r="F180" t="str">
            <v>kg</v>
          </cell>
        </row>
        <row r="181">
          <cell r="C181">
            <v>96546</v>
          </cell>
          <cell r="D181" t="str">
            <v>ARMAÇÃO DE VIGA BALDRAME AÇO CA50 10MM</v>
          </cell>
          <cell r="E181">
            <v>63.180800000000005</v>
          </cell>
          <cell r="F181" t="str">
            <v>kg</v>
          </cell>
        </row>
        <row r="182">
          <cell r="C182">
            <v>96546</v>
          </cell>
          <cell r="D182" t="str">
            <v>ARMAÇÃO DE BLOCO UTILIZANDO AÇO CA-50 DE 10 MM</v>
          </cell>
          <cell r="E182">
            <v>31.56</v>
          </cell>
          <cell r="F182" t="str">
            <v>kg</v>
          </cell>
        </row>
        <row r="183">
          <cell r="E183">
            <v>1.792</v>
          </cell>
        </row>
        <row r="184">
          <cell r="C184">
            <v>98557</v>
          </cell>
          <cell r="D184" t="str">
            <v xml:space="preserve">IMPERMEABILIZAÇÃO DE ESTRUTURAS ENTERREADAS </v>
          </cell>
          <cell r="E184">
            <v>7.68</v>
          </cell>
        </row>
        <row r="185">
          <cell r="C185">
            <v>101165</v>
          </cell>
          <cell r="D185" t="str">
            <v>ALVENARIA DE EMBASAMENTO COM PEDRA GRÊS E ARGAMASSA DE ASSENTAMENTO COM PREPARO EM BETONEIRA.</v>
          </cell>
          <cell r="E185">
            <v>4.992</v>
          </cell>
        </row>
        <row r="186">
          <cell r="C186">
            <v>93382</v>
          </cell>
          <cell r="D186" t="str">
            <v>REATERRO MANUAL DE VALAS COM COMPACTAÇÃO MECANIZADA.</v>
          </cell>
          <cell r="E186">
            <v>15</v>
          </cell>
        </row>
        <row r="187">
          <cell r="C187">
            <v>6079</v>
          </cell>
          <cell r="D187" t="str">
            <v>ARGILA, ARGILA VERMELHA OU ARGILA ARENOSA (RETIRADA NA JAZIDA, SEM TRANSPORTE)</v>
          </cell>
          <cell r="E187">
            <v>15</v>
          </cell>
        </row>
        <row r="188">
          <cell r="C188">
            <v>95875</v>
          </cell>
          <cell r="D188" t="str">
            <v>TRANSPORTE COM CAMINHÃO BASCULANTE DE 10 M³, EM VIA URBANA PAVIMENTADA, DMT ATÉ 30 KM (UNIDADE: M3XKM).</v>
          </cell>
          <cell r="E188">
            <v>75</v>
          </cell>
        </row>
        <row r="189">
          <cell r="C189">
            <v>100977</v>
          </cell>
          <cell r="D189" t="str">
            <v>CARGA, MANOBRA E DESCARGA DE SOLOS E MATERIAIS GRANULARES EM CAMINHÃO BASCULANTE 6 M³</v>
          </cell>
          <cell r="E189">
            <v>15</v>
          </cell>
        </row>
        <row r="190">
          <cell r="C190">
            <v>101619</v>
          </cell>
          <cell r="D190" t="str">
            <v>PREPARO DE FUNDO DE VALA COM LARGURA MENOR QUE 1,5 M, COM CAMADA DE BRITA, LANÇAMENTO MANUAL.</v>
          </cell>
          <cell r="E190">
            <v>1.25</v>
          </cell>
        </row>
        <row r="191">
          <cell r="C191">
            <v>94993</v>
          </cell>
          <cell r="D191" t="str">
            <v>EXECUÇÃO DE PASSEIO (CALÇADA) OU PISO DE CONCRETO COM CONCRETO MOLDADO IN LOCO, USINADO, ACABAMENTO CONVENCIONAL, ESPESSURA 6 CM, ARMADO INCLUSO LONA PLÁSTICA</v>
          </cell>
          <cell r="E191">
            <v>12.5</v>
          </cell>
        </row>
        <row r="192">
          <cell r="C192">
            <v>87620</v>
          </cell>
          <cell r="D192" t="str">
            <v>CONTRAPISO EM ARGAMASSA TRAÇO 1:4 (CIMENTO E AREIA), PREPARO MECÂNICO COM BETONEIRA 400 L, APLICADO EM ÁREAS SECAS SOBRE LAJE, ADERIDO, ESPESSURA 2CM</v>
          </cell>
          <cell r="E192">
            <v>12.5</v>
          </cell>
        </row>
        <row r="193">
          <cell r="C193">
            <v>87879</v>
          </cell>
          <cell r="D193" t="str">
            <v>CHAPISCO APLICADO EM ALVENARIAS E ESTRUTURAS DE CONCRETO INTERNAS, COM COLHER DE PEDREIRO. ARGAMASSA TRAÇO 1:3 COM PREPARO EM BETONEIRA 400L.</v>
          </cell>
          <cell r="E193">
            <v>33</v>
          </cell>
        </row>
        <row r="194">
          <cell r="C194">
            <v>87529</v>
          </cell>
          <cell r="D194" t="str">
            <v>MASSA ÚNICA</v>
          </cell>
          <cell r="E194">
            <v>33</v>
          </cell>
        </row>
        <row r="195">
          <cell r="C195">
            <v>88412</v>
          </cell>
          <cell r="D195" t="str">
            <v>APLICAÇÃO MANUAL DE FUNDO SELADOR ACRÍLICO</v>
          </cell>
          <cell r="E195">
            <v>33</v>
          </cell>
        </row>
        <row r="196">
          <cell r="C196">
            <v>95626</v>
          </cell>
          <cell r="D196" t="str">
            <v>APLICAÇÃO MANUAL DE TINTA LÁTEX ACRÍLICA EM PAREDE EXTERNAS DE CASAS, DUAS DEMÃOS.</v>
          </cell>
          <cell r="E196">
            <v>33</v>
          </cell>
        </row>
        <row r="197">
          <cell r="D197" t="str">
            <v>CORRIMÃO E MONTANTE, DIÂMETRO EXTERNO = 1 1/2", EM AÇO GALVANIZADO PARA RAMPA DE ACESSO CONFORME PROJETO</v>
          </cell>
          <cell r="E197">
            <v>43</v>
          </cell>
        </row>
        <row r="198">
          <cell r="C198">
            <v>99837</v>
          </cell>
          <cell r="D198" t="str">
            <v xml:space="preserve">GUARDA-CORPO DE AÇO GALVANIZADO DE 1,10M, DUPLO CORRIMÃO, MONTANTES TUBULARES DE 1.1/4" ESPAÇADOS 1,20M, TRAVESSA SUPERIOR DE 1.1/2", GRADIL DE TUBOS HORIZONTAIS DE 1" E VERTICAIS DE 3/4", FIXADO COM CHUMBADOR MECÂNICO. </v>
          </cell>
          <cell r="E198">
            <v>43</v>
          </cell>
          <cell r="F198" t="str">
            <v>m</v>
          </cell>
        </row>
        <row r="199">
          <cell r="C199">
            <v>100722</v>
          </cell>
          <cell r="D199" t="str">
            <v>PINTURA COM TINTA ALQUÍDICA DE FUNDO, TIPO ZARCÃO, APLICADA SOBRE SUPERFÍCIES METÁLICAS - CORRIMÃO</v>
          </cell>
          <cell r="E199">
            <v>43</v>
          </cell>
        </row>
        <row r="200">
          <cell r="C200">
            <v>100745</v>
          </cell>
          <cell r="D200" t="str">
            <v>PINTURA COM TINTA ALQUÍDICA DE ACABAMENTO (ESMALTE SINTÉTICO BRILHANTE) SOBRE SUPERFÍCIES METÁLICAS - CORRIMÃO</v>
          </cell>
          <cell r="E200">
            <v>43</v>
          </cell>
        </row>
        <row r="201">
          <cell r="C201">
            <v>101094</v>
          </cell>
          <cell r="D201" t="str">
            <v>PISO PODOTÁTIL, DIRECIONAL OU ALERTA, DE CONCRETO 25X25X2,5CM, ASSENTADO SOBRE ARGAMASSA. CONFORME PROJETO</v>
          </cell>
          <cell r="E201">
            <v>22</v>
          </cell>
          <cell r="F201" t="str">
            <v>m</v>
          </cell>
        </row>
        <row r="203">
          <cell r="E203">
            <v>5.52</v>
          </cell>
        </row>
        <row r="204">
          <cell r="E204">
            <v>101.2</v>
          </cell>
        </row>
        <row r="205">
          <cell r="E205">
            <v>145.36000000000001</v>
          </cell>
        </row>
        <row r="207">
          <cell r="E207">
            <v>11.04</v>
          </cell>
        </row>
        <row r="208">
          <cell r="E208">
            <v>368</v>
          </cell>
        </row>
        <row r="209">
          <cell r="E209">
            <v>540</v>
          </cell>
        </row>
        <row r="210">
          <cell r="E210">
            <v>540</v>
          </cell>
        </row>
        <row r="211">
          <cell r="E211">
            <v>270</v>
          </cell>
        </row>
        <row r="212">
          <cell r="E212">
            <v>540</v>
          </cell>
        </row>
        <row r="213">
          <cell r="E213">
            <v>372</v>
          </cell>
        </row>
      </sheetData>
      <sheetData sheetId="2">
        <row r="21">
          <cell r="J21">
            <v>185.43645555555554</v>
          </cell>
          <cell r="K21">
            <v>60.21</v>
          </cell>
        </row>
        <row r="39">
          <cell r="J39">
            <v>7.4376499999999997</v>
          </cell>
          <cell r="K39">
            <v>4.8959099999999989</v>
          </cell>
        </row>
        <row r="127">
          <cell r="J127">
            <v>555.45204000000001</v>
          </cell>
        </row>
        <row r="141">
          <cell r="J141">
            <v>879.75133999999991</v>
          </cell>
          <cell r="K141">
            <v>110.29584000000001</v>
          </cell>
        </row>
        <row r="153">
          <cell r="J153">
            <v>884.84999999999991</v>
          </cell>
          <cell r="K153">
            <v>6.3133099999999995</v>
          </cell>
        </row>
        <row r="161">
          <cell r="J161">
            <v>262.3</v>
          </cell>
          <cell r="K161">
            <v>102.90280000000001</v>
          </cell>
        </row>
        <row r="171">
          <cell r="J171">
            <v>37.487569999999998</v>
          </cell>
          <cell r="K171">
            <v>3.3610500000000001</v>
          </cell>
        </row>
        <row r="181">
          <cell r="J181">
            <v>15.900969999999999</v>
          </cell>
          <cell r="K181">
            <v>1.746</v>
          </cell>
        </row>
        <row r="191">
          <cell r="J191">
            <v>10.450769999999999</v>
          </cell>
          <cell r="K191">
            <v>1.3094999999999999</v>
          </cell>
        </row>
        <row r="201">
          <cell r="J201">
            <v>59.765468749999997</v>
          </cell>
          <cell r="K201">
            <v>43.650000000000006</v>
          </cell>
        </row>
        <row r="213">
          <cell r="J213">
            <v>372.77936566666665</v>
          </cell>
          <cell r="K213">
            <v>30.720870000000001</v>
          </cell>
        </row>
        <row r="222">
          <cell r="J222">
            <v>150.70131999999995</v>
          </cell>
          <cell r="K222">
            <v>71.324039999999997</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AI379"/>
  <sheetViews>
    <sheetView tabSelected="1" zoomScale="80" zoomScaleNormal="80" zoomScaleSheetLayoutView="80" workbookViewId="0">
      <pane ySplit="7" topLeftCell="A8" activePane="bottomLeft" state="frozen"/>
      <selection pane="bottomLeft" activeCell="D10" sqref="D10"/>
    </sheetView>
  </sheetViews>
  <sheetFormatPr defaultRowHeight="12.75" x14ac:dyDescent="0.25"/>
  <cols>
    <col min="1" max="1" width="3.28515625" style="1" customWidth="1"/>
    <col min="2" max="2" width="8.42578125" style="5" customWidth="1"/>
    <col min="3" max="3" width="11.42578125" style="1" customWidth="1"/>
    <col min="4" max="4" width="100" style="1" customWidth="1"/>
    <col min="5" max="5" width="12.42578125" style="4" customWidth="1"/>
    <col min="6" max="6" width="8.42578125" style="3" customWidth="1"/>
    <col min="7" max="9" width="13.7109375" style="2" customWidth="1"/>
    <col min="10" max="10" width="15.85546875" style="2" customWidth="1"/>
    <col min="11" max="11" width="10.5703125" style="2" customWidth="1"/>
    <col min="12" max="12" width="18.5703125" style="2" customWidth="1"/>
    <col min="13" max="13" width="15.5703125" style="2" customWidth="1"/>
    <col min="14" max="14" width="17.85546875" style="2" customWidth="1"/>
    <col min="15" max="16384" width="9.140625" style="1"/>
  </cols>
  <sheetData>
    <row r="1" spans="2:35" ht="24" customHeight="1" x14ac:dyDescent="0.25">
      <c r="B1" s="119" t="s">
        <v>345</v>
      </c>
      <c r="C1" s="120"/>
      <c r="D1" s="120"/>
      <c r="E1" s="120"/>
      <c r="F1" s="120"/>
      <c r="G1" s="120"/>
      <c r="H1" s="120"/>
      <c r="I1" s="120"/>
      <c r="J1" s="120"/>
      <c r="K1" s="120"/>
      <c r="L1" s="120"/>
      <c r="M1" s="120"/>
      <c r="N1" s="121"/>
      <c r="O1" s="36"/>
      <c r="P1" s="36"/>
      <c r="Q1" s="36"/>
      <c r="R1" s="6"/>
      <c r="S1" s="6"/>
      <c r="T1" s="6"/>
      <c r="U1" s="6"/>
      <c r="V1" s="6"/>
      <c r="W1" s="6"/>
      <c r="X1" s="6"/>
      <c r="Y1" s="6"/>
      <c r="Z1" s="6"/>
      <c r="AA1" s="6"/>
      <c r="AB1" s="6"/>
      <c r="AC1" s="6"/>
      <c r="AD1" s="6"/>
      <c r="AE1" s="6"/>
      <c r="AF1" s="6"/>
      <c r="AG1" s="6"/>
      <c r="AH1" s="6"/>
      <c r="AI1" s="6"/>
    </row>
    <row r="2" spans="2:35" ht="23.25" customHeight="1" x14ac:dyDescent="0.25">
      <c r="B2" s="122" t="s">
        <v>344</v>
      </c>
      <c r="C2" s="123"/>
      <c r="D2" s="123"/>
      <c r="E2" s="123"/>
      <c r="F2" s="123"/>
      <c r="G2" s="123"/>
      <c r="H2" s="123"/>
      <c r="I2" s="123"/>
      <c r="J2" s="123"/>
      <c r="K2" s="123"/>
      <c r="L2" s="123"/>
      <c r="M2" s="123"/>
      <c r="N2" s="124"/>
      <c r="O2" s="36"/>
      <c r="P2" s="36"/>
      <c r="Q2" s="36"/>
      <c r="R2" s="6"/>
      <c r="S2" s="6"/>
      <c r="T2" s="6"/>
      <c r="U2" s="6"/>
      <c r="V2" s="6"/>
      <c r="W2" s="6"/>
      <c r="X2" s="6"/>
      <c r="Y2" s="6"/>
      <c r="Z2" s="6"/>
      <c r="AA2" s="6"/>
      <c r="AB2" s="6"/>
      <c r="AC2" s="6"/>
      <c r="AD2" s="6"/>
      <c r="AE2" s="6"/>
      <c r="AF2" s="6"/>
      <c r="AG2" s="6"/>
      <c r="AH2" s="6"/>
      <c r="AI2" s="6"/>
    </row>
    <row r="3" spans="2:35" ht="22.5" customHeight="1" x14ac:dyDescent="0.25">
      <c r="B3" s="125" t="s">
        <v>343</v>
      </c>
      <c r="C3" s="126"/>
      <c r="D3" s="126"/>
      <c r="E3" s="126"/>
      <c r="F3" s="126"/>
      <c r="G3" s="126"/>
      <c r="H3" s="126"/>
      <c r="I3" s="126"/>
      <c r="J3" s="126"/>
      <c r="K3" s="126"/>
      <c r="L3" s="126"/>
      <c r="M3" s="126"/>
      <c r="N3" s="127"/>
      <c r="O3" s="36"/>
      <c r="P3" s="36"/>
      <c r="Q3" s="36"/>
      <c r="R3" s="6"/>
      <c r="S3" s="6"/>
      <c r="T3" s="6"/>
      <c r="U3" s="6"/>
      <c r="V3" s="6"/>
      <c r="W3" s="6"/>
      <c r="X3" s="6"/>
      <c r="Y3" s="6"/>
      <c r="Z3" s="6"/>
      <c r="AA3" s="6"/>
      <c r="AB3" s="6"/>
      <c r="AC3" s="6"/>
      <c r="AD3" s="6"/>
      <c r="AE3" s="6"/>
      <c r="AF3" s="6"/>
      <c r="AG3" s="6"/>
      <c r="AH3" s="6"/>
      <c r="AI3" s="6"/>
    </row>
    <row r="4" spans="2:35" ht="22.5" customHeight="1" x14ac:dyDescent="0.25">
      <c r="B4" s="112" t="s">
        <v>342</v>
      </c>
      <c r="C4" s="113"/>
      <c r="D4" s="113"/>
      <c r="E4" s="113"/>
      <c r="F4" s="113"/>
      <c r="G4" s="113"/>
      <c r="H4" s="113"/>
      <c r="I4" s="113"/>
      <c r="J4" s="113"/>
      <c r="K4" s="113"/>
      <c r="L4" s="113"/>
      <c r="M4" s="113"/>
      <c r="N4" s="114"/>
      <c r="O4" s="36"/>
      <c r="P4" s="36"/>
      <c r="Q4" s="36"/>
      <c r="R4" s="6"/>
      <c r="S4" s="6"/>
      <c r="T4" s="6"/>
      <c r="U4" s="6"/>
      <c r="V4" s="6"/>
      <c r="W4" s="6"/>
      <c r="X4" s="6"/>
      <c r="Y4" s="6"/>
      <c r="Z4" s="6"/>
      <c r="AA4" s="6"/>
      <c r="AB4" s="6"/>
      <c r="AC4" s="6"/>
      <c r="AD4" s="6"/>
      <c r="AE4" s="6"/>
      <c r="AF4" s="6"/>
      <c r="AG4" s="6"/>
      <c r="AH4" s="6"/>
      <c r="AI4" s="6"/>
    </row>
    <row r="5" spans="2:35" ht="14.25" customHeight="1" x14ac:dyDescent="0.25">
      <c r="B5" s="128"/>
      <c r="C5" s="129"/>
      <c r="D5" s="129"/>
      <c r="E5" s="129"/>
      <c r="F5" s="129"/>
      <c r="G5" s="129"/>
      <c r="H5" s="129"/>
      <c r="I5" s="129"/>
      <c r="J5" s="129"/>
      <c r="K5" s="129"/>
      <c r="L5" s="129"/>
      <c r="M5" s="129"/>
      <c r="N5" s="130"/>
      <c r="O5" s="36"/>
      <c r="P5" s="36"/>
      <c r="Q5" s="36"/>
      <c r="R5" s="6"/>
      <c r="S5" s="6"/>
      <c r="T5" s="6"/>
      <c r="U5" s="6"/>
      <c r="V5" s="6"/>
      <c r="W5" s="6"/>
      <c r="X5" s="6"/>
      <c r="Y5" s="6"/>
      <c r="Z5" s="6"/>
      <c r="AA5" s="6"/>
      <c r="AB5" s="6"/>
      <c r="AC5" s="6"/>
      <c r="AD5" s="6"/>
      <c r="AE5" s="6"/>
      <c r="AF5" s="6"/>
      <c r="AG5" s="6"/>
      <c r="AH5" s="6"/>
      <c r="AI5" s="6"/>
    </row>
    <row r="6" spans="2:35" ht="15.95" customHeight="1" x14ac:dyDescent="0.25">
      <c r="B6" s="117" t="s">
        <v>341</v>
      </c>
      <c r="C6" s="117" t="s">
        <v>340</v>
      </c>
      <c r="D6" s="117" t="s">
        <v>339</v>
      </c>
      <c r="E6" s="117" t="s">
        <v>338</v>
      </c>
      <c r="F6" s="117" t="s">
        <v>14</v>
      </c>
      <c r="G6" s="118" t="s">
        <v>337</v>
      </c>
      <c r="H6" s="118"/>
      <c r="I6" s="118"/>
      <c r="J6" s="118" t="s">
        <v>336</v>
      </c>
      <c r="K6" s="118" t="s">
        <v>335</v>
      </c>
      <c r="L6" s="118" t="s">
        <v>334</v>
      </c>
      <c r="M6" s="118"/>
      <c r="N6" s="118"/>
      <c r="O6" s="36"/>
      <c r="P6" s="36"/>
      <c r="Q6" s="36"/>
      <c r="R6" s="6"/>
      <c r="S6" s="6"/>
      <c r="T6" s="6"/>
      <c r="U6" s="6"/>
      <c r="V6" s="6"/>
      <c r="W6" s="6"/>
      <c r="X6" s="6"/>
      <c r="Y6" s="6"/>
      <c r="Z6" s="6"/>
      <c r="AA6" s="6"/>
      <c r="AB6" s="6"/>
      <c r="AC6" s="6"/>
      <c r="AD6" s="6"/>
      <c r="AE6" s="6"/>
      <c r="AF6" s="6"/>
      <c r="AG6" s="6"/>
      <c r="AH6" s="6"/>
      <c r="AI6" s="6"/>
    </row>
    <row r="7" spans="2:35" s="3" customFormat="1" ht="50.25" customHeight="1" x14ac:dyDescent="0.25">
      <c r="B7" s="117"/>
      <c r="C7" s="117"/>
      <c r="D7" s="117"/>
      <c r="E7" s="117"/>
      <c r="F7" s="117"/>
      <c r="G7" s="97" t="s">
        <v>333</v>
      </c>
      <c r="H7" s="97" t="s">
        <v>332</v>
      </c>
      <c r="I7" s="97" t="s">
        <v>331</v>
      </c>
      <c r="J7" s="118"/>
      <c r="K7" s="118"/>
      <c r="L7" s="97" t="s">
        <v>330</v>
      </c>
      <c r="M7" s="97" t="s">
        <v>329</v>
      </c>
      <c r="N7" s="97" t="s">
        <v>328</v>
      </c>
      <c r="O7" s="8"/>
      <c r="P7" s="8"/>
      <c r="Q7" s="8"/>
      <c r="R7" s="8"/>
      <c r="S7" s="8"/>
      <c r="T7" s="8"/>
      <c r="U7" s="8"/>
      <c r="V7" s="8"/>
      <c r="W7" s="8"/>
      <c r="X7" s="8"/>
      <c r="Y7" s="8"/>
      <c r="Z7" s="8"/>
      <c r="AA7" s="8"/>
      <c r="AB7" s="8"/>
      <c r="AC7" s="8"/>
      <c r="AD7" s="8"/>
      <c r="AE7" s="8"/>
      <c r="AF7" s="8"/>
      <c r="AG7" s="8"/>
      <c r="AH7" s="8"/>
      <c r="AI7" s="8"/>
    </row>
    <row r="8" spans="2:35" ht="20.25" customHeight="1" x14ac:dyDescent="0.25">
      <c r="B8" s="51">
        <v>1</v>
      </c>
      <c r="C8" s="49" t="s">
        <v>327</v>
      </c>
      <c r="D8" s="49"/>
      <c r="E8" s="49"/>
      <c r="F8" s="50"/>
      <c r="G8" s="50"/>
      <c r="H8" s="50"/>
      <c r="I8" s="49"/>
      <c r="J8" s="49"/>
      <c r="K8" s="49"/>
      <c r="L8" s="49"/>
      <c r="M8" s="49"/>
      <c r="N8" s="48"/>
      <c r="O8" s="34"/>
      <c r="P8" s="34"/>
      <c r="Q8" s="36"/>
      <c r="R8" s="6"/>
      <c r="S8" s="6"/>
      <c r="T8" s="6"/>
      <c r="U8" s="6"/>
      <c r="V8" s="6"/>
      <c r="W8" s="6"/>
      <c r="X8" s="6"/>
      <c r="Y8" s="6"/>
      <c r="Z8" s="6"/>
      <c r="AA8" s="6"/>
      <c r="AB8" s="6"/>
      <c r="AC8" s="6"/>
      <c r="AD8" s="6"/>
      <c r="AE8" s="6"/>
      <c r="AF8" s="6"/>
      <c r="AG8" s="6"/>
      <c r="AH8" s="6"/>
      <c r="AI8" s="6"/>
    </row>
    <row r="9" spans="2:35" s="73" customFormat="1" ht="20.25" customHeight="1" x14ac:dyDescent="0.25">
      <c r="B9" s="96" t="s">
        <v>326</v>
      </c>
      <c r="C9" s="78" t="s">
        <v>325</v>
      </c>
      <c r="D9" s="56" t="str">
        <f>'[1]MEMORIAL DE CÁLCULO'!D5</f>
        <v>PLACA DE OBRA DE AÇO GALVANIZADO PADRÃO GOVERNO FEDERAL</v>
      </c>
      <c r="E9" s="44">
        <f>'[1]MEMORIAL DE CÁLCULO'!E5</f>
        <v>3</v>
      </c>
      <c r="F9" s="55" t="s">
        <v>10</v>
      </c>
      <c r="G9" s="54">
        <f>'[1]COMPOSIÇÕES PRÓPRIAS'!J21</f>
        <v>185.43645555555554</v>
      </c>
      <c r="H9" s="54">
        <f>'[1]COMPOSIÇÕES PRÓPRIAS'!K21</f>
        <v>60.21</v>
      </c>
      <c r="I9" s="54">
        <f t="shared" ref="I9:I16" si="0">G9+H9</f>
        <v>245.64645555555555</v>
      </c>
      <c r="J9" s="38">
        <f t="shared" ref="J9:J16" si="1">ROUND(I9*E9,2)</f>
        <v>736.94</v>
      </c>
      <c r="K9" s="39">
        <v>0.2387</v>
      </c>
      <c r="L9" s="38">
        <f t="shared" ref="L9:L16" si="2">ROUND((1+K9)*E9*G9,2)</f>
        <v>689.1</v>
      </c>
      <c r="M9" s="38">
        <f t="shared" ref="M9:M16" si="3">ROUND((1+K9)*E9*H9,2)</f>
        <v>223.75</v>
      </c>
      <c r="N9" s="38">
        <f t="shared" ref="N9:N16" si="4">ROUND(L9+M9,2)</f>
        <v>912.85</v>
      </c>
      <c r="O9" s="76"/>
      <c r="P9" s="76"/>
      <c r="Q9" s="75"/>
      <c r="R9" s="74"/>
      <c r="S9" s="74"/>
      <c r="T9" s="74"/>
      <c r="U9" s="74"/>
      <c r="V9" s="74"/>
      <c r="W9" s="74"/>
      <c r="X9" s="74"/>
      <c r="Y9" s="74"/>
      <c r="Z9" s="74"/>
      <c r="AA9" s="74"/>
      <c r="AB9" s="74"/>
      <c r="AC9" s="74"/>
      <c r="AD9" s="74"/>
      <c r="AE9" s="74"/>
      <c r="AF9" s="74"/>
      <c r="AG9" s="74"/>
      <c r="AH9" s="74"/>
      <c r="AI9" s="74"/>
    </row>
    <row r="10" spans="2:35" ht="20.25" customHeight="1" x14ac:dyDescent="0.25">
      <c r="B10" s="96" t="s">
        <v>324</v>
      </c>
      <c r="C10" s="57">
        <v>98459</v>
      </c>
      <c r="D10" s="56" t="s">
        <v>323</v>
      </c>
      <c r="E10" s="44">
        <f>85*2.2</f>
        <v>187.00000000000003</v>
      </c>
      <c r="F10" s="55" t="s">
        <v>10</v>
      </c>
      <c r="G10" s="54">
        <v>79.78</v>
      </c>
      <c r="H10" s="52">
        <v>13.57</v>
      </c>
      <c r="I10" s="53">
        <f t="shared" si="0"/>
        <v>93.35</v>
      </c>
      <c r="J10" s="52">
        <f t="shared" si="1"/>
        <v>17456.45</v>
      </c>
      <c r="K10" s="39">
        <v>0.2387</v>
      </c>
      <c r="L10" s="38">
        <f t="shared" si="2"/>
        <v>18479.990000000002</v>
      </c>
      <c r="M10" s="38">
        <f t="shared" si="3"/>
        <v>3143.31</v>
      </c>
      <c r="N10" s="38">
        <f t="shared" si="4"/>
        <v>21623.3</v>
      </c>
      <c r="O10" s="34"/>
      <c r="P10" s="34"/>
      <c r="Q10" s="36"/>
      <c r="R10" s="6"/>
      <c r="S10" s="6"/>
      <c r="T10" s="6"/>
      <c r="U10" s="6"/>
      <c r="V10" s="6"/>
      <c r="W10" s="6"/>
      <c r="X10" s="6"/>
      <c r="Y10" s="6"/>
      <c r="Z10" s="6"/>
      <c r="AA10" s="6"/>
      <c r="AB10" s="6"/>
      <c r="AC10" s="6"/>
      <c r="AD10" s="6"/>
      <c r="AE10" s="6"/>
      <c r="AF10" s="6"/>
      <c r="AG10" s="6"/>
      <c r="AH10" s="6"/>
      <c r="AI10" s="6"/>
    </row>
    <row r="11" spans="2:35" s="73" customFormat="1" ht="20.25" customHeight="1" x14ac:dyDescent="0.25">
      <c r="B11" s="96" t="s">
        <v>322</v>
      </c>
      <c r="C11" s="78" t="s">
        <v>321</v>
      </c>
      <c r="D11" s="56" t="s">
        <v>320</v>
      </c>
      <c r="E11" s="44">
        <v>80</v>
      </c>
      <c r="F11" s="55" t="s">
        <v>22</v>
      </c>
      <c r="G11" s="54">
        <f>'[1]COMPOSIÇÕES PRÓPRIAS'!J39</f>
        <v>7.4376499999999997</v>
      </c>
      <c r="H11" s="38">
        <f>'[1]COMPOSIÇÕES PRÓPRIAS'!K39</f>
        <v>4.8959099999999989</v>
      </c>
      <c r="I11" s="54">
        <f t="shared" si="0"/>
        <v>12.333559999999999</v>
      </c>
      <c r="J11" s="38">
        <f t="shared" si="1"/>
        <v>986.68</v>
      </c>
      <c r="K11" s="39">
        <v>0.2387</v>
      </c>
      <c r="L11" s="38">
        <f t="shared" si="2"/>
        <v>737.04</v>
      </c>
      <c r="M11" s="38">
        <f t="shared" si="3"/>
        <v>485.17</v>
      </c>
      <c r="N11" s="38">
        <f t="shared" si="4"/>
        <v>1222.21</v>
      </c>
      <c r="O11" s="76"/>
      <c r="P11" s="76"/>
      <c r="Q11" s="75"/>
      <c r="R11" s="74"/>
      <c r="S11" s="74"/>
      <c r="T11" s="74"/>
      <c r="U11" s="74"/>
      <c r="V11" s="74"/>
      <c r="W11" s="74"/>
      <c r="X11" s="74"/>
      <c r="Y11" s="74"/>
      <c r="Z11" s="74"/>
      <c r="AA11" s="74"/>
      <c r="AB11" s="74"/>
      <c r="AC11" s="74"/>
      <c r="AD11" s="74"/>
      <c r="AE11" s="74"/>
      <c r="AF11" s="74"/>
      <c r="AG11" s="74"/>
      <c r="AH11" s="74"/>
      <c r="AI11" s="74"/>
    </row>
    <row r="12" spans="2:35" s="73" customFormat="1" ht="48.75" customHeight="1" x14ac:dyDescent="0.25">
      <c r="B12" s="96" t="s">
        <v>319</v>
      </c>
      <c r="C12" s="78">
        <v>101531</v>
      </c>
      <c r="D12" s="56" t="s">
        <v>318</v>
      </c>
      <c r="E12" s="44">
        <v>1</v>
      </c>
      <c r="F12" s="55" t="s">
        <v>168</v>
      </c>
      <c r="G12" s="54">
        <v>1360.07</v>
      </c>
      <c r="H12" s="38">
        <v>156.16</v>
      </c>
      <c r="I12" s="54">
        <f t="shared" si="0"/>
        <v>1516.23</v>
      </c>
      <c r="J12" s="38">
        <f t="shared" si="1"/>
        <v>1516.23</v>
      </c>
      <c r="K12" s="39">
        <v>0.2387</v>
      </c>
      <c r="L12" s="38">
        <f t="shared" si="2"/>
        <v>1684.72</v>
      </c>
      <c r="M12" s="38">
        <f t="shared" si="3"/>
        <v>193.44</v>
      </c>
      <c r="N12" s="38">
        <f t="shared" si="4"/>
        <v>1878.16</v>
      </c>
      <c r="O12" s="76"/>
      <c r="P12" s="76"/>
      <c r="Q12" s="75"/>
      <c r="R12" s="74"/>
      <c r="S12" s="74"/>
      <c r="T12" s="74"/>
      <c r="U12" s="74"/>
      <c r="V12" s="74"/>
      <c r="W12" s="74"/>
      <c r="X12" s="74"/>
      <c r="Y12" s="74"/>
      <c r="Z12" s="74"/>
      <c r="AA12" s="74"/>
      <c r="AB12" s="74"/>
      <c r="AC12" s="74"/>
      <c r="AD12" s="74"/>
      <c r="AE12" s="74"/>
      <c r="AF12" s="74"/>
      <c r="AG12" s="74"/>
      <c r="AH12" s="74"/>
      <c r="AI12" s="74"/>
    </row>
    <row r="13" spans="2:35" ht="20.25" customHeight="1" x14ac:dyDescent="0.25">
      <c r="B13" s="96" t="s">
        <v>317</v>
      </c>
      <c r="C13" s="57">
        <v>99059</v>
      </c>
      <c r="D13" s="56" t="str">
        <f>'[1]MEMORIAL DE CÁLCULO'!D7</f>
        <v xml:space="preserve">LOCAÇÃO DE OBRA </v>
      </c>
      <c r="E13" s="44">
        <f>'[1]MEMORIAL DE CÁLCULO'!E7</f>
        <v>149.5</v>
      </c>
      <c r="F13" s="55" t="s">
        <v>22</v>
      </c>
      <c r="G13" s="54">
        <v>23.95</v>
      </c>
      <c r="H13" s="52">
        <v>21.37</v>
      </c>
      <c r="I13" s="53">
        <f t="shared" si="0"/>
        <v>45.32</v>
      </c>
      <c r="J13" s="52">
        <f t="shared" si="1"/>
        <v>6775.34</v>
      </c>
      <c r="K13" s="39">
        <v>0.2387</v>
      </c>
      <c r="L13" s="38">
        <f t="shared" si="2"/>
        <v>4435.2</v>
      </c>
      <c r="M13" s="38">
        <f t="shared" si="3"/>
        <v>3957.42</v>
      </c>
      <c r="N13" s="38">
        <f t="shared" si="4"/>
        <v>8392.6200000000008</v>
      </c>
      <c r="O13" s="34"/>
      <c r="P13" s="34"/>
      <c r="Q13" s="36"/>
      <c r="R13" s="6"/>
      <c r="S13" s="6"/>
      <c r="T13" s="6"/>
      <c r="U13" s="6"/>
      <c r="V13" s="6"/>
      <c r="W13" s="6"/>
      <c r="X13" s="6"/>
      <c r="Y13" s="6"/>
      <c r="Z13" s="6"/>
      <c r="AA13" s="6"/>
      <c r="AB13" s="6"/>
      <c r="AC13" s="6"/>
      <c r="AD13" s="6"/>
      <c r="AE13" s="6"/>
      <c r="AF13" s="6"/>
      <c r="AG13" s="6"/>
      <c r="AH13" s="6"/>
      <c r="AI13" s="6"/>
    </row>
    <row r="14" spans="2:35" ht="20.25" customHeight="1" x14ac:dyDescent="0.25">
      <c r="B14" s="96" t="s">
        <v>316</v>
      </c>
      <c r="C14" s="57">
        <v>10775</v>
      </c>
      <c r="D14" s="56" t="s">
        <v>314</v>
      </c>
      <c r="E14" s="44">
        <v>6</v>
      </c>
      <c r="F14" s="55" t="s">
        <v>313</v>
      </c>
      <c r="G14" s="54">
        <v>785</v>
      </c>
      <c r="H14" s="52">
        <v>0</v>
      </c>
      <c r="I14" s="53">
        <f t="shared" si="0"/>
        <v>785</v>
      </c>
      <c r="J14" s="52">
        <f t="shared" si="1"/>
        <v>4710</v>
      </c>
      <c r="K14" s="39">
        <v>0.2387</v>
      </c>
      <c r="L14" s="38">
        <f t="shared" si="2"/>
        <v>5834.28</v>
      </c>
      <c r="M14" s="38">
        <f t="shared" si="3"/>
        <v>0</v>
      </c>
      <c r="N14" s="38">
        <f t="shared" si="4"/>
        <v>5834.28</v>
      </c>
      <c r="O14" s="34"/>
      <c r="P14" s="34"/>
      <c r="Q14" s="36"/>
      <c r="R14" s="6"/>
      <c r="S14" s="6"/>
      <c r="T14" s="6"/>
      <c r="U14" s="6"/>
      <c r="V14" s="6"/>
      <c r="W14" s="6"/>
      <c r="X14" s="6"/>
      <c r="Y14" s="6"/>
      <c r="Z14" s="6"/>
      <c r="AA14" s="6"/>
      <c r="AB14" s="6"/>
      <c r="AC14" s="6"/>
      <c r="AD14" s="6"/>
      <c r="AE14" s="6"/>
      <c r="AF14" s="6"/>
      <c r="AG14" s="6"/>
      <c r="AH14" s="6"/>
      <c r="AI14" s="6"/>
    </row>
    <row r="15" spans="2:35" ht="20.25" customHeight="1" x14ac:dyDescent="0.25">
      <c r="B15" s="96" t="s">
        <v>315</v>
      </c>
      <c r="C15" s="57">
        <v>10775</v>
      </c>
      <c r="D15" s="56" t="s">
        <v>314</v>
      </c>
      <c r="E15" s="44">
        <v>6</v>
      </c>
      <c r="F15" s="55" t="s">
        <v>313</v>
      </c>
      <c r="G15" s="54">
        <v>785</v>
      </c>
      <c r="H15" s="52">
        <v>0</v>
      </c>
      <c r="I15" s="53">
        <f t="shared" si="0"/>
        <v>785</v>
      </c>
      <c r="J15" s="52">
        <f t="shared" si="1"/>
        <v>4710</v>
      </c>
      <c r="K15" s="39">
        <v>0.2387</v>
      </c>
      <c r="L15" s="38">
        <f t="shared" si="2"/>
        <v>5834.28</v>
      </c>
      <c r="M15" s="38">
        <f t="shared" si="3"/>
        <v>0</v>
      </c>
      <c r="N15" s="38">
        <f t="shared" si="4"/>
        <v>5834.28</v>
      </c>
      <c r="O15" s="34"/>
      <c r="P15" s="34"/>
      <c r="Q15" s="36"/>
      <c r="R15" s="6"/>
      <c r="S15" s="6"/>
      <c r="T15" s="6"/>
      <c r="U15" s="6"/>
      <c r="V15" s="6"/>
      <c r="W15" s="6"/>
      <c r="X15" s="6"/>
      <c r="Y15" s="6"/>
      <c r="Z15" s="6"/>
      <c r="AA15" s="6"/>
      <c r="AB15" s="6"/>
      <c r="AC15" s="6"/>
      <c r="AD15" s="6"/>
      <c r="AE15" s="6"/>
      <c r="AF15" s="6"/>
      <c r="AG15" s="6"/>
      <c r="AH15" s="6"/>
      <c r="AI15" s="6"/>
    </row>
    <row r="16" spans="2:35" ht="28.5" customHeight="1" x14ac:dyDescent="0.25">
      <c r="B16" s="96" t="s">
        <v>312</v>
      </c>
      <c r="C16" s="57">
        <v>97629</v>
      </c>
      <c r="D16" s="56" t="s">
        <v>311</v>
      </c>
      <c r="E16" s="44">
        <v>10</v>
      </c>
      <c r="F16" s="55" t="s">
        <v>37</v>
      </c>
      <c r="G16" s="54">
        <v>24.14</v>
      </c>
      <c r="H16" s="52">
        <f>8.07+90.76</f>
        <v>98.830000000000013</v>
      </c>
      <c r="I16" s="53">
        <f t="shared" si="0"/>
        <v>122.97000000000001</v>
      </c>
      <c r="J16" s="52">
        <f t="shared" si="1"/>
        <v>1229.7</v>
      </c>
      <c r="K16" s="39">
        <v>0.2387</v>
      </c>
      <c r="L16" s="38">
        <f t="shared" si="2"/>
        <v>299.02</v>
      </c>
      <c r="M16" s="38">
        <f t="shared" si="3"/>
        <v>1224.21</v>
      </c>
      <c r="N16" s="38">
        <f t="shared" si="4"/>
        <v>1523.23</v>
      </c>
      <c r="O16" s="34"/>
      <c r="P16" s="34"/>
      <c r="Q16" s="36"/>
      <c r="R16" s="6"/>
      <c r="S16" s="6"/>
      <c r="T16" s="6"/>
      <c r="U16" s="6"/>
      <c r="V16" s="6"/>
      <c r="W16" s="6"/>
      <c r="X16" s="6"/>
      <c r="Y16" s="6"/>
      <c r="Z16" s="6"/>
      <c r="AA16" s="6"/>
      <c r="AB16" s="6"/>
      <c r="AC16" s="6"/>
      <c r="AD16" s="6"/>
      <c r="AE16" s="6"/>
      <c r="AF16" s="6"/>
      <c r="AG16" s="6"/>
      <c r="AH16" s="6"/>
      <c r="AI16" s="6"/>
    </row>
    <row r="17" spans="2:35" ht="20.25" customHeight="1" x14ac:dyDescent="0.25">
      <c r="B17" s="107" t="s">
        <v>310</v>
      </c>
      <c r="C17" s="108"/>
      <c r="D17" s="108"/>
      <c r="E17" s="108"/>
      <c r="F17" s="108"/>
      <c r="G17" s="108"/>
      <c r="H17" s="108"/>
      <c r="I17" s="108"/>
      <c r="J17" s="108"/>
      <c r="K17" s="108"/>
      <c r="L17" s="94">
        <f>SUM(L9:L16)</f>
        <v>37993.629999999997</v>
      </c>
      <c r="M17" s="94">
        <f>SUM(M9:M16)</f>
        <v>9227.2999999999993</v>
      </c>
      <c r="N17" s="94">
        <f>SUM(N9:N16)</f>
        <v>47220.93</v>
      </c>
      <c r="O17" s="34"/>
      <c r="P17" s="34"/>
      <c r="Q17" s="36"/>
      <c r="R17" s="6"/>
      <c r="S17" s="6"/>
      <c r="T17" s="6"/>
      <c r="U17" s="6"/>
      <c r="V17" s="6"/>
      <c r="W17" s="6"/>
      <c r="X17" s="6"/>
      <c r="Y17" s="6"/>
      <c r="Z17" s="6"/>
      <c r="AA17" s="6"/>
      <c r="AB17" s="6"/>
      <c r="AC17" s="6"/>
      <c r="AD17" s="6"/>
      <c r="AE17" s="6"/>
      <c r="AF17" s="6"/>
      <c r="AG17" s="6"/>
      <c r="AH17" s="6"/>
      <c r="AI17" s="6"/>
    </row>
    <row r="18" spans="2:35" ht="20.25" customHeight="1" x14ac:dyDescent="0.25">
      <c r="B18" s="51">
        <v>2</v>
      </c>
      <c r="C18" s="49" t="s">
        <v>309</v>
      </c>
      <c r="D18" s="49"/>
      <c r="E18" s="49"/>
      <c r="F18" s="50"/>
      <c r="G18" s="50"/>
      <c r="H18" s="50"/>
      <c r="I18" s="49"/>
      <c r="J18" s="49"/>
      <c r="K18" s="49"/>
      <c r="L18" s="49"/>
      <c r="M18" s="49"/>
      <c r="N18" s="48"/>
      <c r="O18" s="34"/>
      <c r="P18" s="34"/>
      <c r="Q18" s="36"/>
      <c r="R18" s="6"/>
      <c r="S18" s="6"/>
      <c r="T18" s="6"/>
      <c r="U18" s="6"/>
      <c r="V18" s="6"/>
      <c r="W18" s="6"/>
      <c r="X18" s="6"/>
      <c r="Y18" s="6"/>
      <c r="Z18" s="6"/>
      <c r="AA18" s="6"/>
      <c r="AB18" s="6"/>
      <c r="AC18" s="6"/>
      <c r="AD18" s="6"/>
      <c r="AE18" s="6"/>
      <c r="AF18" s="6"/>
      <c r="AG18" s="6"/>
      <c r="AH18" s="6"/>
      <c r="AI18" s="6"/>
    </row>
    <row r="19" spans="2:35" ht="20.25" customHeight="1" x14ac:dyDescent="0.25">
      <c r="B19" s="67" t="s">
        <v>308</v>
      </c>
      <c r="C19" s="57">
        <v>98525</v>
      </c>
      <c r="D19" s="56" t="str">
        <f>'[1]MEMORIAL DE CÁLCULO'!D12</f>
        <v xml:space="preserve">LIMPEZA MECANIZADA DE CAMADA VEGETAL </v>
      </c>
      <c r="E19" s="44">
        <f>'[1]MEMORIAL DE CÁLCULO'!E12</f>
        <v>346.65999999999997</v>
      </c>
      <c r="F19" s="55" t="s">
        <v>10</v>
      </c>
      <c r="G19" s="54">
        <v>0.2</v>
      </c>
      <c r="H19" s="52">
        <v>0.19</v>
      </c>
      <c r="I19" s="53">
        <f>G19+H19</f>
        <v>0.39</v>
      </c>
      <c r="J19" s="52">
        <f>ROUND(I19*E19,2)</f>
        <v>135.19999999999999</v>
      </c>
      <c r="K19" s="39">
        <v>0.2387</v>
      </c>
      <c r="L19" s="38">
        <f>ROUND((1+K19)*E19*G19,2)</f>
        <v>85.88</v>
      </c>
      <c r="M19" s="38">
        <f>ROUND((1+K19)*E19*H19,2)</f>
        <v>81.59</v>
      </c>
      <c r="N19" s="38">
        <f>ROUND(L19+M19,2)</f>
        <v>167.47</v>
      </c>
      <c r="O19" s="34"/>
      <c r="P19" s="34"/>
      <c r="Q19" s="36"/>
      <c r="R19" s="6"/>
      <c r="S19" s="6"/>
      <c r="T19" s="6"/>
      <c r="U19" s="6"/>
      <c r="V19" s="6"/>
      <c r="W19" s="6"/>
      <c r="X19" s="6"/>
      <c r="Y19" s="6"/>
      <c r="Z19" s="6"/>
      <c r="AA19" s="6"/>
      <c r="AB19" s="6"/>
      <c r="AC19" s="6"/>
      <c r="AD19" s="6"/>
      <c r="AE19" s="6"/>
      <c r="AF19" s="6"/>
      <c r="AG19" s="6"/>
      <c r="AH19" s="6"/>
      <c r="AI19" s="6"/>
    </row>
    <row r="20" spans="2:35" s="6" customFormat="1" ht="20.25" customHeight="1" x14ac:dyDescent="0.25">
      <c r="B20" s="47" t="s">
        <v>307</v>
      </c>
      <c r="C20" s="88">
        <v>97637</v>
      </c>
      <c r="D20" s="56" t="str">
        <f>'[1]MEMORIAL DE CÁLCULO'!D13</f>
        <v>REMOÇÃO DE TELA  LATERAL QUADRA DE VOLEI</v>
      </c>
      <c r="E20" s="44">
        <f>'[1]MEMORIAL DE CÁLCULO'!E13</f>
        <v>40</v>
      </c>
      <c r="F20" s="43" t="s">
        <v>10</v>
      </c>
      <c r="G20" s="42">
        <v>0.51</v>
      </c>
      <c r="H20" s="40">
        <v>1.88</v>
      </c>
      <c r="I20" s="41">
        <f>G20+H20</f>
        <v>2.3899999999999997</v>
      </c>
      <c r="J20" s="40">
        <f>ROUND(I20*E20,2)</f>
        <v>95.6</v>
      </c>
      <c r="K20" s="39">
        <v>0.2387</v>
      </c>
      <c r="L20" s="38">
        <f>ROUND((1+K20)*E20*G20,2)</f>
        <v>25.27</v>
      </c>
      <c r="M20" s="38">
        <f>ROUND((1+K20)*E20*H20,2)</f>
        <v>93.15</v>
      </c>
      <c r="N20" s="38">
        <f>ROUND(L20+M20,2)</f>
        <v>118.42</v>
      </c>
      <c r="O20" s="34"/>
      <c r="P20" s="34"/>
      <c r="Q20" s="36"/>
    </row>
    <row r="21" spans="2:35" s="6" customFormat="1" ht="20.25" customHeight="1" x14ac:dyDescent="0.25">
      <c r="B21" s="47" t="s">
        <v>306</v>
      </c>
      <c r="C21" s="88" t="s">
        <v>305</v>
      </c>
      <c r="D21" s="56" t="s">
        <v>304</v>
      </c>
      <c r="E21" s="44">
        <v>12</v>
      </c>
      <c r="F21" s="43" t="s">
        <v>10</v>
      </c>
      <c r="G21" s="42">
        <v>9.65</v>
      </c>
      <c r="H21" s="42">
        <v>31.73</v>
      </c>
      <c r="I21" s="41">
        <f>G21+H21</f>
        <v>41.38</v>
      </c>
      <c r="J21" s="40">
        <f>ROUND(I21*E21,2)</f>
        <v>496.56</v>
      </c>
      <c r="K21" s="58">
        <v>0.2387</v>
      </c>
      <c r="L21" s="38">
        <f>ROUND((1+K21)*E21*G21,2)</f>
        <v>143.44</v>
      </c>
      <c r="M21" s="38">
        <f>ROUND((1+K21)*E21*H21,2)</f>
        <v>471.65</v>
      </c>
      <c r="N21" s="38">
        <f>ROUND(L21+M21,2)</f>
        <v>615.09</v>
      </c>
      <c r="O21" s="34"/>
      <c r="P21" s="34"/>
      <c r="Q21" s="36"/>
    </row>
    <row r="22" spans="2:35" ht="20.25" customHeight="1" x14ac:dyDescent="0.25">
      <c r="B22" s="107" t="s">
        <v>303</v>
      </c>
      <c r="C22" s="108"/>
      <c r="D22" s="108"/>
      <c r="E22" s="108"/>
      <c r="F22" s="108"/>
      <c r="G22" s="108"/>
      <c r="H22" s="108"/>
      <c r="I22" s="108"/>
      <c r="J22" s="108"/>
      <c r="K22" s="108"/>
      <c r="L22" s="95">
        <f>SUM(L19:L21)</f>
        <v>254.58999999999997</v>
      </c>
      <c r="M22" s="95">
        <f>SUM(M19:M21)</f>
        <v>646.39</v>
      </c>
      <c r="N22" s="94">
        <f>SUM(N19:N21)</f>
        <v>900.98</v>
      </c>
      <c r="O22" s="34"/>
      <c r="P22" s="34"/>
      <c r="Q22" s="36"/>
      <c r="R22" s="6"/>
      <c r="S22" s="6"/>
      <c r="T22" s="6"/>
      <c r="U22" s="6"/>
      <c r="V22" s="6"/>
      <c r="W22" s="6"/>
      <c r="X22" s="6"/>
      <c r="Y22" s="6"/>
      <c r="Z22" s="6"/>
      <c r="AA22" s="6"/>
      <c r="AB22" s="6"/>
      <c r="AC22" s="6"/>
      <c r="AD22" s="6"/>
      <c r="AE22" s="6"/>
      <c r="AF22" s="6"/>
      <c r="AG22" s="6"/>
      <c r="AH22" s="6"/>
      <c r="AI22" s="6"/>
    </row>
    <row r="23" spans="2:35" ht="20.25" customHeight="1" x14ac:dyDescent="0.25">
      <c r="B23" s="51">
        <v>3</v>
      </c>
      <c r="C23" s="63" t="s">
        <v>302</v>
      </c>
      <c r="D23" s="63"/>
      <c r="E23" s="63"/>
      <c r="F23" s="50"/>
      <c r="G23" s="50"/>
      <c r="H23" s="50"/>
      <c r="I23" s="63"/>
      <c r="J23" s="63"/>
      <c r="K23" s="63"/>
      <c r="L23" s="63"/>
      <c r="M23" s="63"/>
      <c r="N23" s="62"/>
      <c r="O23" s="34"/>
      <c r="P23" s="34"/>
      <c r="Q23" s="36"/>
      <c r="R23" s="6"/>
      <c r="S23" s="6"/>
      <c r="T23" s="6"/>
      <c r="U23" s="6"/>
      <c r="V23" s="6"/>
      <c r="W23" s="6"/>
      <c r="X23" s="6"/>
      <c r="Y23" s="6"/>
      <c r="Z23" s="6"/>
      <c r="AA23" s="6"/>
      <c r="AB23" s="6"/>
      <c r="AC23" s="6"/>
      <c r="AD23" s="6"/>
      <c r="AE23" s="6"/>
      <c r="AF23" s="6"/>
      <c r="AG23" s="6"/>
      <c r="AH23" s="6"/>
      <c r="AI23" s="6"/>
    </row>
    <row r="24" spans="2:35" ht="28.5" customHeight="1" x14ac:dyDescent="0.25">
      <c r="B24" s="67" t="s">
        <v>301</v>
      </c>
      <c r="C24" s="57">
        <f>'[1]MEMORIAL DE CÁLCULO'!C16</f>
        <v>100896</v>
      </c>
      <c r="D24" s="61" t="str">
        <f>'[1]MEMORIAL DE CÁLCULO'!D16</f>
        <v>ESTACA ESCAVADA MECANICAMENTE, SEM FLUIDO ESTABILIZANTE, COM 25CM DE DIÂMETRO, CONCRETO LANÇADO POR CAMINHÃO BETONEIRA (EXCLUSIVE MOBILIZAÇÃO E DESMOBILIZAÇÃO).</v>
      </c>
      <c r="E24" s="87">
        <f>'[1]MEMORIAL DE CÁLCULO'!E16</f>
        <v>144</v>
      </c>
      <c r="F24" s="55" t="s">
        <v>22</v>
      </c>
      <c r="G24" s="54">
        <f>41.03+14.49</f>
        <v>55.52</v>
      </c>
      <c r="H24" s="52">
        <v>5.76</v>
      </c>
      <c r="I24" s="53">
        <f t="shared" ref="I24:I32" si="5">G24+H24</f>
        <v>61.28</v>
      </c>
      <c r="J24" s="52">
        <f t="shared" ref="J24:J32" si="6">ROUND(I24*E24,2)</f>
        <v>8824.32</v>
      </c>
      <c r="K24" s="39">
        <v>0.2387</v>
      </c>
      <c r="L24" s="38">
        <f t="shared" ref="L24:L32" si="7">ROUND((1+K24)*E24*G24,2)</f>
        <v>9903.26</v>
      </c>
      <c r="M24" s="38">
        <f t="shared" ref="M24:M32" si="8">ROUND((1+K24)*E24*H24,2)</f>
        <v>1027.43</v>
      </c>
      <c r="N24" s="38">
        <f t="shared" ref="N24:N32" si="9">ROUND(L24+M24,2)</f>
        <v>10930.69</v>
      </c>
      <c r="O24" s="34"/>
      <c r="P24" s="34"/>
      <c r="Q24" s="36"/>
      <c r="R24" s="6"/>
      <c r="S24" s="6"/>
      <c r="T24" s="6"/>
      <c r="U24" s="6"/>
      <c r="V24" s="6"/>
      <c r="W24" s="6"/>
      <c r="X24" s="6"/>
      <c r="Y24" s="6"/>
      <c r="Z24" s="6"/>
      <c r="AA24" s="6"/>
      <c r="AB24" s="6"/>
      <c r="AC24" s="6"/>
      <c r="AD24" s="6"/>
      <c r="AE24" s="6"/>
      <c r="AF24" s="6"/>
      <c r="AG24" s="6"/>
      <c r="AH24" s="6"/>
      <c r="AI24" s="6"/>
    </row>
    <row r="25" spans="2:35" ht="20.25" customHeight="1" x14ac:dyDescent="0.25">
      <c r="B25" s="67" t="s">
        <v>300</v>
      </c>
      <c r="C25" s="57">
        <f>'[1]MEMORIAL DE CÁLCULO'!C17</f>
        <v>95577</v>
      </c>
      <c r="D25" s="61" t="str">
        <f>'[1]MEMORIAL DE CÁLCULO'!D17</f>
        <v>MONTAGEM DE ARMADURA DE ESTACAS, DIÂMETRO = 10,0 MM.</v>
      </c>
      <c r="E25" s="87">
        <f>'[1]MEMORIAL DE CÁLCULO'!E17</f>
        <v>216.7</v>
      </c>
      <c r="F25" s="55" t="s">
        <v>40</v>
      </c>
      <c r="G25" s="54">
        <v>12.67</v>
      </c>
      <c r="H25" s="52">
        <v>0.77</v>
      </c>
      <c r="I25" s="53">
        <f t="shared" si="5"/>
        <v>13.44</v>
      </c>
      <c r="J25" s="52">
        <f t="shared" si="6"/>
        <v>2912.45</v>
      </c>
      <c r="K25" s="39">
        <v>0.2387</v>
      </c>
      <c r="L25" s="38">
        <f t="shared" si="7"/>
        <v>3400.96</v>
      </c>
      <c r="M25" s="38">
        <f t="shared" si="8"/>
        <v>206.69</v>
      </c>
      <c r="N25" s="38">
        <f t="shared" si="9"/>
        <v>3607.65</v>
      </c>
      <c r="O25" s="34"/>
      <c r="P25" s="34"/>
      <c r="Q25" s="36"/>
      <c r="R25" s="6"/>
      <c r="S25" s="6"/>
      <c r="T25" s="6"/>
      <c r="U25" s="6"/>
      <c r="V25" s="6"/>
      <c r="W25" s="6"/>
      <c r="X25" s="6"/>
      <c r="Y25" s="6"/>
      <c r="Z25" s="6"/>
      <c r="AA25" s="6"/>
      <c r="AB25" s="6"/>
      <c r="AC25" s="6"/>
      <c r="AD25" s="6"/>
      <c r="AE25" s="6"/>
      <c r="AF25" s="6"/>
      <c r="AG25" s="6"/>
      <c r="AH25" s="6"/>
      <c r="AI25" s="6"/>
    </row>
    <row r="26" spans="2:35" ht="35.25" customHeight="1" x14ac:dyDescent="0.25">
      <c r="B26" s="67" t="s">
        <v>299</v>
      </c>
      <c r="C26" s="57">
        <f>'[1]MEMORIAL DE CÁLCULO'!C18</f>
        <v>96524</v>
      </c>
      <c r="D26" s="61" t="str">
        <f>'[1]MEMORIAL DE CÁLCULO'!D18</f>
        <v>ESCAVAÇÃO MECANIZADA PARA VIGA BALDRAME COM MINI-ESCAVADEIRA (SEM ESCAVAÇÃO PARA COLOCAÇÃO DE FÔRMAS). Vigas de 20x30</v>
      </c>
      <c r="E26" s="87">
        <f>'[1]MEMORIAL DE CÁLCULO'!E18</f>
        <v>16.8</v>
      </c>
      <c r="F26" s="55" t="s">
        <v>37</v>
      </c>
      <c r="G26" s="54">
        <f>33.61+36.95</f>
        <v>70.56</v>
      </c>
      <c r="H26" s="52">
        <v>104.78</v>
      </c>
      <c r="I26" s="53">
        <f t="shared" si="5"/>
        <v>175.34</v>
      </c>
      <c r="J26" s="52">
        <f t="shared" si="6"/>
        <v>2945.71</v>
      </c>
      <c r="K26" s="39">
        <v>0.2387</v>
      </c>
      <c r="L26" s="38">
        <f t="shared" si="7"/>
        <v>1468.36</v>
      </c>
      <c r="M26" s="38">
        <f t="shared" si="8"/>
        <v>2180.4899999999998</v>
      </c>
      <c r="N26" s="38">
        <f t="shared" si="9"/>
        <v>3648.85</v>
      </c>
      <c r="O26" s="34"/>
      <c r="P26" s="34"/>
      <c r="Q26" s="36"/>
      <c r="R26" s="6"/>
      <c r="S26" s="6"/>
      <c r="T26" s="6"/>
      <c r="U26" s="6"/>
      <c r="V26" s="6"/>
      <c r="W26" s="6"/>
      <c r="X26" s="6"/>
      <c r="Y26" s="6"/>
      <c r="Z26" s="6"/>
      <c r="AA26" s="6"/>
      <c r="AB26" s="6"/>
      <c r="AC26" s="6"/>
      <c r="AD26" s="6"/>
      <c r="AE26" s="6"/>
      <c r="AF26" s="6"/>
      <c r="AG26" s="6"/>
      <c r="AH26" s="6"/>
      <c r="AI26" s="6"/>
    </row>
    <row r="27" spans="2:35" ht="30.75" customHeight="1" x14ac:dyDescent="0.25">
      <c r="B27" s="67" t="s">
        <v>298</v>
      </c>
      <c r="C27" s="57">
        <f>'[1]MEMORIAL DE CÁLCULO'!C19</f>
        <v>96536</v>
      </c>
      <c r="D27" s="61" t="str">
        <f>'[1]MEMORIAL DE CÁLCULO'!D19</f>
        <v>FABRICAÇÃO, MONTAGEM E DESMONTAGEM DE FÔRMA PARA VIGA BALDRAME, EM MADEIRA SERRADA, E=25 MM, 4 UTILIZAÇÕES.</v>
      </c>
      <c r="E27" s="87">
        <f>'[1]MEMORIAL DE CÁLCULO'!E19</f>
        <v>224</v>
      </c>
      <c r="F27" s="55" t="s">
        <v>10</v>
      </c>
      <c r="G27" s="54">
        <v>31.03</v>
      </c>
      <c r="H27" s="52">
        <v>28.11</v>
      </c>
      <c r="I27" s="53">
        <f t="shared" si="5"/>
        <v>59.14</v>
      </c>
      <c r="J27" s="52">
        <f t="shared" si="6"/>
        <v>13247.36</v>
      </c>
      <c r="K27" s="39">
        <v>0.2387</v>
      </c>
      <c r="L27" s="38">
        <f t="shared" si="7"/>
        <v>8609.86</v>
      </c>
      <c r="M27" s="38">
        <f t="shared" si="8"/>
        <v>7799.65</v>
      </c>
      <c r="N27" s="38">
        <f t="shared" si="9"/>
        <v>16409.509999999998</v>
      </c>
      <c r="O27" s="34"/>
      <c r="P27" s="34"/>
      <c r="Q27" s="36"/>
      <c r="R27" s="6"/>
      <c r="S27" s="6"/>
      <c r="T27" s="6"/>
      <c r="U27" s="6"/>
      <c r="V27" s="6"/>
      <c r="W27" s="6"/>
      <c r="X27" s="6"/>
      <c r="Y27" s="6"/>
      <c r="Z27" s="6"/>
      <c r="AA27" s="6"/>
      <c r="AB27" s="6"/>
      <c r="AC27" s="6"/>
      <c r="AD27" s="6"/>
      <c r="AE27" s="6"/>
      <c r="AF27" s="6"/>
      <c r="AG27" s="6"/>
      <c r="AH27" s="6"/>
      <c r="AI27" s="6"/>
    </row>
    <row r="28" spans="2:35" ht="20.25" customHeight="1" x14ac:dyDescent="0.25">
      <c r="B28" s="67" t="s">
        <v>297</v>
      </c>
      <c r="C28" s="57">
        <f>'[1]MEMORIAL DE CÁLCULO'!C20</f>
        <v>96616</v>
      </c>
      <c r="D28" s="61" t="str">
        <f>'[1]MEMORIAL DE CÁLCULO'!D20</f>
        <v xml:space="preserve">LASTRO DE CONCRETO MAGRO </v>
      </c>
      <c r="E28" s="87">
        <f>'[1]MEMORIAL DE CÁLCULO'!E20</f>
        <v>2.8000000000000003</v>
      </c>
      <c r="F28" s="55" t="s">
        <v>37</v>
      </c>
      <c r="G28" s="54">
        <f>368.72+1.75+3.03</f>
        <v>373.5</v>
      </c>
      <c r="H28" s="52">
        <v>196.15</v>
      </c>
      <c r="I28" s="53">
        <f t="shared" si="5"/>
        <v>569.65</v>
      </c>
      <c r="J28" s="52">
        <f t="shared" si="6"/>
        <v>1595.02</v>
      </c>
      <c r="K28" s="39">
        <v>0.2387</v>
      </c>
      <c r="L28" s="38">
        <f t="shared" si="7"/>
        <v>1295.43</v>
      </c>
      <c r="M28" s="38">
        <f t="shared" si="8"/>
        <v>680.32</v>
      </c>
      <c r="N28" s="38">
        <f t="shared" si="9"/>
        <v>1975.75</v>
      </c>
      <c r="O28" s="34"/>
      <c r="P28" s="34"/>
      <c r="Q28" s="36"/>
      <c r="R28" s="6"/>
      <c r="S28" s="6"/>
      <c r="T28" s="6"/>
      <c r="U28" s="6"/>
      <c r="V28" s="6"/>
      <c r="W28" s="6"/>
      <c r="X28" s="6"/>
      <c r="Y28" s="6"/>
      <c r="Z28" s="6"/>
      <c r="AA28" s="6"/>
      <c r="AB28" s="6"/>
      <c r="AC28" s="6"/>
      <c r="AD28" s="6"/>
      <c r="AE28" s="6"/>
      <c r="AF28" s="6"/>
      <c r="AG28" s="6"/>
      <c r="AH28" s="6"/>
      <c r="AI28" s="6"/>
    </row>
    <row r="29" spans="2:35" ht="20.25" customHeight="1" x14ac:dyDescent="0.25">
      <c r="B29" s="67" t="s">
        <v>296</v>
      </c>
      <c r="C29" s="57">
        <f>'[1]MEMORIAL DE CÁLCULO'!C21</f>
        <v>96543</v>
      </c>
      <c r="D29" s="61" t="str">
        <f>'[1]MEMORIAL DE CÁLCULO'!D21</f>
        <v>ARMAÇÃO DE VIGA BALDRAME AÇO CA60 5MM</v>
      </c>
      <c r="E29" s="87">
        <f>'[1]MEMORIAL DE CÁLCULO'!E21</f>
        <v>277.66200000000003</v>
      </c>
      <c r="F29" s="55" t="s">
        <v>40</v>
      </c>
      <c r="G29" s="54">
        <v>13.42</v>
      </c>
      <c r="H29" s="52">
        <v>5.5</v>
      </c>
      <c r="I29" s="53">
        <f t="shared" si="5"/>
        <v>18.920000000000002</v>
      </c>
      <c r="J29" s="52">
        <f t="shared" si="6"/>
        <v>5253.37</v>
      </c>
      <c r="K29" s="39">
        <v>0.2387</v>
      </c>
      <c r="L29" s="38">
        <f t="shared" si="7"/>
        <v>4615.67</v>
      </c>
      <c r="M29" s="38">
        <f t="shared" si="8"/>
        <v>1891.67</v>
      </c>
      <c r="N29" s="38">
        <f t="shared" si="9"/>
        <v>6507.34</v>
      </c>
      <c r="O29" s="34"/>
      <c r="P29" s="34"/>
      <c r="Q29" s="36"/>
      <c r="R29" s="6"/>
      <c r="S29" s="6"/>
      <c r="T29" s="6"/>
      <c r="U29" s="6"/>
      <c r="V29" s="6"/>
      <c r="W29" s="6"/>
      <c r="X29" s="6"/>
      <c r="Y29" s="6"/>
      <c r="Z29" s="6"/>
      <c r="AA29" s="6"/>
      <c r="AB29" s="6"/>
      <c r="AC29" s="6"/>
      <c r="AD29" s="6"/>
      <c r="AE29" s="6"/>
      <c r="AF29" s="6"/>
      <c r="AG29" s="6"/>
      <c r="AH29" s="6"/>
      <c r="AI29" s="6"/>
    </row>
    <row r="30" spans="2:35" ht="20.25" customHeight="1" x14ac:dyDescent="0.25">
      <c r="B30" s="67" t="s">
        <v>295</v>
      </c>
      <c r="C30" s="57">
        <f>'[1]MEMORIAL DE CÁLCULO'!C22</f>
        <v>96546</v>
      </c>
      <c r="D30" s="61" t="str">
        <f>'[1]MEMORIAL DE CÁLCULO'!D22</f>
        <v>ARMAÇÃO DE VIGA BALDRAME AÇO CA50 10MM</v>
      </c>
      <c r="E30" s="87">
        <f>'[1]MEMORIAL DE CÁLCULO'!E22</f>
        <v>902.49824000000001</v>
      </c>
      <c r="F30" s="55" t="s">
        <v>40</v>
      </c>
      <c r="G30" s="54">
        <v>13.26</v>
      </c>
      <c r="H30" s="52">
        <v>2.14</v>
      </c>
      <c r="I30" s="53">
        <f t="shared" si="5"/>
        <v>15.4</v>
      </c>
      <c r="J30" s="52">
        <f t="shared" si="6"/>
        <v>13898.47</v>
      </c>
      <c r="K30" s="39">
        <v>0.2387</v>
      </c>
      <c r="L30" s="38">
        <f t="shared" si="7"/>
        <v>14823.68</v>
      </c>
      <c r="M30" s="38">
        <f t="shared" si="8"/>
        <v>2392.36</v>
      </c>
      <c r="N30" s="38">
        <f t="shared" si="9"/>
        <v>17216.04</v>
      </c>
      <c r="O30" s="34"/>
      <c r="P30" s="34"/>
      <c r="Q30" s="36"/>
      <c r="R30" s="6"/>
      <c r="S30" s="6"/>
      <c r="T30" s="6"/>
      <c r="U30" s="6"/>
      <c r="V30" s="6"/>
      <c r="W30" s="6"/>
      <c r="X30" s="6"/>
      <c r="Y30" s="6"/>
      <c r="Z30" s="6"/>
      <c r="AA30" s="6"/>
      <c r="AB30" s="6"/>
      <c r="AC30" s="6"/>
      <c r="AD30" s="6"/>
      <c r="AE30" s="6"/>
      <c r="AF30" s="6"/>
      <c r="AG30" s="6"/>
      <c r="AH30" s="6"/>
      <c r="AI30" s="6"/>
    </row>
    <row r="31" spans="2:35" ht="35.25" customHeight="1" x14ac:dyDescent="0.25">
      <c r="B31" s="67" t="s">
        <v>294</v>
      </c>
      <c r="C31" s="57">
        <v>96555</v>
      </c>
      <c r="D31" s="61" t="s">
        <v>38</v>
      </c>
      <c r="E31" s="87">
        <f>'[1]MEMORIAL DE CÁLCULO'!E23</f>
        <v>16.8</v>
      </c>
      <c r="F31" s="55" t="s">
        <v>37</v>
      </c>
      <c r="G31" s="54">
        <f>506.05+3.28+1.79</f>
        <v>511.12</v>
      </c>
      <c r="H31" s="52">
        <v>135.16</v>
      </c>
      <c r="I31" s="53">
        <f t="shared" si="5"/>
        <v>646.28</v>
      </c>
      <c r="J31" s="52">
        <f t="shared" si="6"/>
        <v>10857.5</v>
      </c>
      <c r="K31" s="39">
        <v>0.2387</v>
      </c>
      <c r="L31" s="38">
        <f t="shared" si="7"/>
        <v>10636.49</v>
      </c>
      <c r="M31" s="38">
        <f t="shared" si="8"/>
        <v>2812.7</v>
      </c>
      <c r="N31" s="38">
        <f t="shared" si="9"/>
        <v>13449.19</v>
      </c>
      <c r="O31" s="34"/>
      <c r="P31" s="34"/>
      <c r="Q31" s="36"/>
      <c r="R31" s="6"/>
      <c r="S31" s="6"/>
      <c r="T31" s="6"/>
      <c r="U31" s="6"/>
      <c r="V31" s="6"/>
      <c r="W31" s="6"/>
      <c r="X31" s="6"/>
      <c r="Y31" s="6"/>
      <c r="Z31" s="6"/>
      <c r="AA31" s="6"/>
      <c r="AB31" s="6"/>
      <c r="AC31" s="6"/>
      <c r="AD31" s="6"/>
      <c r="AE31" s="6"/>
      <c r="AF31" s="6"/>
      <c r="AG31" s="6"/>
      <c r="AH31" s="6"/>
      <c r="AI31" s="6"/>
    </row>
    <row r="32" spans="2:35" ht="20.25" customHeight="1" x14ac:dyDescent="0.25">
      <c r="B32" s="67" t="s">
        <v>293</v>
      </c>
      <c r="C32" s="57">
        <v>98557</v>
      </c>
      <c r="D32" s="61" t="s">
        <v>292</v>
      </c>
      <c r="E32" s="87">
        <f>'[1]MEMORIAL DE CÁLCULO'!E24</f>
        <v>224</v>
      </c>
      <c r="F32" s="55" t="s">
        <v>10</v>
      </c>
      <c r="G32" s="54">
        <v>38.299999999999997</v>
      </c>
      <c r="H32" s="52">
        <v>9.33</v>
      </c>
      <c r="I32" s="53">
        <f t="shared" si="5"/>
        <v>47.629999999999995</v>
      </c>
      <c r="J32" s="52">
        <f t="shared" si="6"/>
        <v>10669.12</v>
      </c>
      <c r="K32" s="39">
        <v>0.2387</v>
      </c>
      <c r="L32" s="38">
        <f t="shared" si="7"/>
        <v>10627.06</v>
      </c>
      <c r="M32" s="38">
        <f t="shared" si="8"/>
        <v>2588.7800000000002</v>
      </c>
      <c r="N32" s="38">
        <f t="shared" si="9"/>
        <v>13215.84</v>
      </c>
      <c r="O32" s="34"/>
      <c r="P32" s="34"/>
      <c r="Q32" s="36"/>
      <c r="R32" s="6"/>
      <c r="S32" s="6"/>
      <c r="T32" s="6"/>
      <c r="U32" s="6"/>
      <c r="V32" s="6"/>
      <c r="W32" s="6"/>
      <c r="X32" s="6"/>
      <c r="Y32" s="6"/>
      <c r="Z32" s="6"/>
      <c r="AA32" s="6"/>
      <c r="AB32" s="6"/>
      <c r="AC32" s="6"/>
      <c r="AD32" s="6"/>
      <c r="AE32" s="6"/>
      <c r="AF32" s="6"/>
      <c r="AG32" s="6"/>
      <c r="AH32" s="6"/>
      <c r="AI32" s="6"/>
    </row>
    <row r="33" spans="2:35" ht="20.25" customHeight="1" x14ac:dyDescent="0.25">
      <c r="B33" s="111" t="s">
        <v>291</v>
      </c>
      <c r="C33" s="111"/>
      <c r="D33" s="111"/>
      <c r="E33" s="111"/>
      <c r="F33" s="111"/>
      <c r="G33" s="111"/>
      <c r="H33" s="111"/>
      <c r="I33" s="111"/>
      <c r="J33" s="111"/>
      <c r="K33" s="111"/>
      <c r="L33" s="37">
        <f>SUM(L24:L32)</f>
        <v>65380.77</v>
      </c>
      <c r="M33" s="37">
        <f>SUM(M24:M32)</f>
        <v>21580.089999999997</v>
      </c>
      <c r="N33" s="37">
        <f>SUM(N24:N32)</f>
        <v>86960.859999999986</v>
      </c>
      <c r="O33" s="34"/>
      <c r="P33" s="34"/>
      <c r="Q33" s="36"/>
      <c r="R33" s="6"/>
      <c r="S33" s="6"/>
      <c r="T33" s="6"/>
      <c r="U33" s="6"/>
      <c r="V33" s="6"/>
      <c r="W33" s="6"/>
      <c r="X33" s="6"/>
      <c r="Y33" s="6"/>
      <c r="Z33" s="6"/>
      <c r="AA33" s="6"/>
      <c r="AB33" s="6"/>
      <c r="AC33" s="6"/>
      <c r="AD33" s="6"/>
      <c r="AE33" s="6"/>
      <c r="AF33" s="6"/>
      <c r="AG33" s="6"/>
      <c r="AH33" s="6"/>
      <c r="AI33" s="6"/>
    </row>
    <row r="34" spans="2:35" ht="20.25" customHeight="1" x14ac:dyDescent="0.25">
      <c r="B34" s="51">
        <v>4</v>
      </c>
      <c r="C34" s="109" t="s">
        <v>290</v>
      </c>
      <c r="D34" s="109"/>
      <c r="E34" s="109"/>
      <c r="F34" s="109"/>
      <c r="G34" s="109"/>
      <c r="H34" s="109"/>
      <c r="I34" s="109"/>
      <c r="J34" s="109"/>
      <c r="K34" s="109"/>
      <c r="L34" s="109"/>
      <c r="M34" s="109"/>
      <c r="N34" s="110"/>
      <c r="O34" s="34"/>
      <c r="P34" s="34"/>
      <c r="Q34" s="36"/>
      <c r="R34" s="6"/>
      <c r="S34" s="6"/>
      <c r="T34" s="6"/>
      <c r="U34" s="6"/>
      <c r="V34" s="6"/>
      <c r="W34" s="6"/>
      <c r="X34" s="6"/>
      <c r="Y34" s="6"/>
      <c r="Z34" s="6"/>
      <c r="AA34" s="6"/>
      <c r="AB34" s="6"/>
      <c r="AC34" s="6"/>
      <c r="AD34" s="6"/>
      <c r="AE34" s="6"/>
      <c r="AF34" s="6"/>
      <c r="AG34" s="6"/>
      <c r="AH34" s="6"/>
      <c r="AI34" s="6"/>
    </row>
    <row r="35" spans="2:35" ht="20.25" customHeight="1" x14ac:dyDescent="0.25">
      <c r="B35" s="102" t="s">
        <v>289</v>
      </c>
      <c r="C35" s="103"/>
      <c r="D35" s="63"/>
      <c r="E35" s="63"/>
      <c r="F35" s="50"/>
      <c r="G35" s="50"/>
      <c r="H35" s="50"/>
      <c r="I35" s="63"/>
      <c r="J35" s="63"/>
      <c r="K35" s="63"/>
      <c r="L35" s="63"/>
      <c r="M35" s="63"/>
      <c r="N35" s="62"/>
      <c r="O35" s="34"/>
      <c r="P35" s="34"/>
      <c r="Q35" s="36"/>
      <c r="R35" s="6"/>
      <c r="S35" s="6"/>
      <c r="T35" s="6"/>
      <c r="U35" s="6"/>
      <c r="V35" s="6"/>
      <c r="W35" s="6"/>
      <c r="X35" s="6"/>
      <c r="Y35" s="6"/>
      <c r="Z35" s="6"/>
      <c r="AA35" s="6"/>
      <c r="AB35" s="6"/>
      <c r="AC35" s="6"/>
      <c r="AD35" s="6"/>
      <c r="AE35" s="6"/>
      <c r="AF35" s="6"/>
      <c r="AG35" s="6"/>
      <c r="AH35" s="6"/>
      <c r="AI35" s="6"/>
    </row>
    <row r="36" spans="2:35" ht="45.75" customHeight="1" x14ac:dyDescent="0.25">
      <c r="B36" s="67" t="s">
        <v>288</v>
      </c>
      <c r="C36" s="57">
        <f>'[1]MEMORIAL DE CÁLCULO'!C28</f>
        <v>92443</v>
      </c>
      <c r="D36" s="56" t="str">
        <f>'[1]MEMORIAL DE CÁLCULO'!D28</f>
        <v>MONTAGEM E DESMONTAGEM DE FÔRMA DE PILARES RETANGULARES E ESTRUTURAS SIMILARES, PÉ-DIREITO SIMPLES, EM CHAPA DE MADEIRA COMPENSADA PLASTIFICADA, 18 UTILIZAÇÕES.</v>
      </c>
      <c r="E36" s="87">
        <f>'[1]MEMORIAL DE CÁLCULO'!E28</f>
        <v>207.12800000000004</v>
      </c>
      <c r="F36" s="55" t="s">
        <v>10</v>
      </c>
      <c r="G36" s="54">
        <f>17.98+18.04</f>
        <v>36.019999999999996</v>
      </c>
      <c r="H36" s="52">
        <v>14.44</v>
      </c>
      <c r="I36" s="53">
        <f>G36+H36</f>
        <v>50.459999999999994</v>
      </c>
      <c r="J36" s="52">
        <f>ROUND(I36*E36,2)</f>
        <v>10451.68</v>
      </c>
      <c r="K36" s="39">
        <v>0.2387</v>
      </c>
      <c r="L36" s="38">
        <f>ROUND((1+K36)*E36*G36,2)</f>
        <v>9241.6299999999992</v>
      </c>
      <c r="M36" s="38">
        <f>ROUND((1+K36)*E36*H36,2)</f>
        <v>3704.86</v>
      </c>
      <c r="N36" s="38">
        <f>ROUND(L36+M36,2)</f>
        <v>12946.49</v>
      </c>
      <c r="O36" s="34"/>
      <c r="P36" s="34"/>
      <c r="Q36" s="36"/>
      <c r="R36" s="6"/>
      <c r="S36" s="6"/>
      <c r="T36" s="6"/>
      <c r="U36" s="6"/>
      <c r="V36" s="6"/>
      <c r="W36" s="6"/>
      <c r="X36" s="6"/>
      <c r="Y36" s="6"/>
      <c r="Z36" s="6"/>
      <c r="AA36" s="6"/>
      <c r="AB36" s="6"/>
      <c r="AC36" s="6"/>
      <c r="AD36" s="6"/>
      <c r="AE36" s="6"/>
      <c r="AF36" s="6"/>
      <c r="AG36" s="6"/>
      <c r="AH36" s="6"/>
      <c r="AI36" s="6"/>
    </row>
    <row r="37" spans="2:35" ht="32.25" customHeight="1" x14ac:dyDescent="0.25">
      <c r="B37" s="67" t="s">
        <v>287</v>
      </c>
      <c r="C37" s="57">
        <v>92759</v>
      </c>
      <c r="D37" s="56" t="str">
        <f>'[1]MEMORIAL DE CÁLCULO'!D29</f>
        <v>ARMAÇÃO DE PILAR DE UMA ESTRUTURA CONVENCIONAL DE CONCRETO ARMADO UTILIZANDO AÇO CA-60 DE 5,0 MM - MONTAGEM.</v>
      </c>
      <c r="E37" s="87">
        <f>'[1]MEMORIAL DE CÁLCULO'!E29</f>
        <v>102.26216000000001</v>
      </c>
      <c r="F37" s="57" t="str">
        <f>'[1]MEMORIAL DE CÁLCULO'!F29</f>
        <v>kg</v>
      </c>
      <c r="G37" s="54">
        <v>12.66</v>
      </c>
      <c r="H37" s="52">
        <v>3.3</v>
      </c>
      <c r="I37" s="53">
        <f>G37+H37</f>
        <v>15.96</v>
      </c>
      <c r="J37" s="52">
        <f>ROUND(I37*E37,2)</f>
        <v>1632.1</v>
      </c>
      <c r="K37" s="39">
        <v>0.2387</v>
      </c>
      <c r="L37" s="38">
        <f>ROUND((1+K37)*E37*G37,2)</f>
        <v>1603.67</v>
      </c>
      <c r="M37" s="38">
        <f>ROUND((1+K37)*E37*H37,2)</f>
        <v>418.02</v>
      </c>
      <c r="N37" s="38">
        <f>ROUND(L37+M37,2)</f>
        <v>2021.69</v>
      </c>
      <c r="O37" s="34"/>
      <c r="P37" s="34"/>
      <c r="Q37" s="36"/>
      <c r="R37" s="6"/>
      <c r="S37" s="6"/>
      <c r="T37" s="6"/>
      <c r="U37" s="6"/>
      <c r="V37" s="6"/>
      <c r="W37" s="6"/>
      <c r="X37" s="6"/>
      <c r="Y37" s="6"/>
      <c r="Z37" s="6"/>
      <c r="AA37" s="6"/>
      <c r="AB37" s="6"/>
      <c r="AC37" s="6"/>
      <c r="AD37" s="6"/>
      <c r="AE37" s="6"/>
      <c r="AF37" s="6"/>
      <c r="AG37" s="6"/>
      <c r="AH37" s="6"/>
      <c r="AI37" s="6"/>
    </row>
    <row r="38" spans="2:35" ht="32.25" customHeight="1" x14ac:dyDescent="0.25">
      <c r="B38" s="67" t="s">
        <v>286</v>
      </c>
      <c r="C38" s="57">
        <v>92762</v>
      </c>
      <c r="D38" s="56" t="str">
        <f>'[1]MEMORIAL DE CÁLCULO'!D30</f>
        <v>ARMAÇÃO DE PILAR DE UMA ESTRUTURA CONVENCIONAL DE CONCRETO ARMADO UTILIZANDO AÇO CA-50 DE 10,0 MM - MONTAGEM.</v>
      </c>
      <c r="E38" s="87">
        <f>'[1]MEMORIAL DE CÁLCULO'!E30</f>
        <v>480.64299999999997</v>
      </c>
      <c r="F38" s="57" t="str">
        <f>'[1]MEMORIAL DE CÁLCULO'!F30</f>
        <v>kg</v>
      </c>
      <c r="G38" s="54">
        <v>12.94</v>
      </c>
      <c r="H38" s="52">
        <v>0.92</v>
      </c>
      <c r="I38" s="53">
        <f>G38+H38</f>
        <v>13.86</v>
      </c>
      <c r="J38" s="52">
        <f>ROUND(I38*E38,2)</f>
        <v>6661.71</v>
      </c>
      <c r="K38" s="39">
        <v>0.2387</v>
      </c>
      <c r="L38" s="38">
        <f>ROUND((1+K38)*E38*G38,2)</f>
        <v>7704.12</v>
      </c>
      <c r="M38" s="38">
        <f>ROUND((1+K38)*E38*H38,2)</f>
        <v>547.74</v>
      </c>
      <c r="N38" s="38">
        <f>ROUND(L38+M38,2)</f>
        <v>8251.86</v>
      </c>
      <c r="O38" s="34"/>
      <c r="P38" s="34"/>
      <c r="Q38" s="36"/>
      <c r="R38" s="6"/>
      <c r="S38" s="6"/>
      <c r="T38" s="6"/>
      <c r="U38" s="6"/>
      <c r="V38" s="6"/>
      <c r="W38" s="6"/>
      <c r="X38" s="6"/>
      <c r="Y38" s="6"/>
      <c r="Z38" s="6"/>
      <c r="AA38" s="6"/>
      <c r="AB38" s="6"/>
      <c r="AC38" s="6"/>
      <c r="AD38" s="6"/>
      <c r="AE38" s="6"/>
      <c r="AF38" s="6"/>
      <c r="AG38" s="6"/>
      <c r="AH38" s="6"/>
      <c r="AI38" s="6"/>
    </row>
    <row r="39" spans="2:35" ht="20.25" customHeight="1" x14ac:dyDescent="0.25">
      <c r="B39" s="47" t="s">
        <v>285</v>
      </c>
      <c r="C39" s="46">
        <v>103674</v>
      </c>
      <c r="D39" s="60" t="str">
        <f>'[1]MEMORIAL DE CÁLCULO'!D31</f>
        <v xml:space="preserve">CONCRETAGEM DE PILARES, FCK = 25 MPA, COM USO DE BOMBA EM EDIFICAÇÃO </v>
      </c>
      <c r="E39" s="87">
        <f>'[1]MEMORIAL DE CÁLCULO'!E31</f>
        <v>13.020800000000001</v>
      </c>
      <c r="F39" s="57" t="s">
        <v>37</v>
      </c>
      <c r="G39" s="54">
        <f>577.25+0.14+0.09</f>
        <v>577.48</v>
      </c>
      <c r="H39" s="52">
        <v>40.049999999999997</v>
      </c>
      <c r="I39" s="53">
        <f>G39+H39</f>
        <v>617.53</v>
      </c>
      <c r="J39" s="52">
        <f>ROUND(I39*E39,2)</f>
        <v>8040.73</v>
      </c>
      <c r="K39" s="39">
        <v>0.2387</v>
      </c>
      <c r="L39" s="38">
        <f>ROUND((1+K39)*E39*G39,2)</f>
        <v>9314.1</v>
      </c>
      <c r="M39" s="38">
        <f>ROUND((1+K39)*E39*H39,2)</f>
        <v>645.96</v>
      </c>
      <c r="N39" s="38">
        <f>ROUND(L39+M39,2)</f>
        <v>9960.06</v>
      </c>
      <c r="O39" s="34"/>
      <c r="P39" s="34"/>
      <c r="Q39" s="36"/>
      <c r="R39" s="6"/>
      <c r="S39" s="6"/>
      <c r="T39" s="6"/>
      <c r="U39" s="6"/>
      <c r="V39" s="6"/>
      <c r="W39" s="6"/>
      <c r="X39" s="6"/>
      <c r="Y39" s="6"/>
      <c r="Z39" s="6"/>
      <c r="AA39" s="6"/>
      <c r="AB39" s="6"/>
      <c r="AC39" s="6"/>
      <c r="AD39" s="6"/>
      <c r="AE39" s="6"/>
      <c r="AF39" s="6"/>
      <c r="AG39" s="6"/>
      <c r="AH39" s="6"/>
      <c r="AI39" s="6"/>
    </row>
    <row r="40" spans="2:35" ht="20.25" customHeight="1" x14ac:dyDescent="0.25">
      <c r="B40" s="102" t="s">
        <v>284</v>
      </c>
      <c r="C40" s="103"/>
      <c r="D40" s="63"/>
      <c r="E40" s="63"/>
      <c r="F40" s="50"/>
      <c r="G40" s="50"/>
      <c r="H40" s="50"/>
      <c r="I40" s="63"/>
      <c r="J40" s="63"/>
      <c r="K40" s="63"/>
      <c r="L40" s="63"/>
      <c r="M40" s="63"/>
      <c r="N40" s="62"/>
      <c r="O40" s="34"/>
      <c r="P40" s="34"/>
      <c r="Q40" s="36"/>
      <c r="R40" s="6"/>
      <c r="S40" s="6"/>
      <c r="T40" s="6"/>
      <c r="U40" s="6"/>
      <c r="V40" s="6"/>
      <c r="W40" s="6"/>
      <c r="X40" s="6"/>
      <c r="Y40" s="6"/>
      <c r="Z40" s="6"/>
      <c r="AA40" s="6"/>
      <c r="AB40" s="6"/>
      <c r="AC40" s="6"/>
      <c r="AD40" s="6"/>
      <c r="AE40" s="6"/>
      <c r="AF40" s="6"/>
      <c r="AG40" s="6"/>
      <c r="AH40" s="6"/>
      <c r="AI40" s="6"/>
    </row>
    <row r="41" spans="2:35" ht="32.25" customHeight="1" x14ac:dyDescent="0.25">
      <c r="B41" s="47" t="s">
        <v>283</v>
      </c>
      <c r="C41" s="46">
        <f>'[1]MEMORIAL DE CÁLCULO'!C33</f>
        <v>92448</v>
      </c>
      <c r="D41" s="60" t="str">
        <f>'[1]MEMORIAL DE CÁLCULO'!D33</f>
        <v>MONTAGEM E DESMONTAGEM DE FÔRMA DE VIGA, ESCORAMENTO COM PONTALETE DE MADEIRA, PÉ-DIREITO SIMPLES, EM MADEIRA SERRADA, 4 UTILIZAÇÕES</v>
      </c>
      <c r="E41" s="59">
        <f>'[1]MEMORIAL DE CÁLCULO'!E33</f>
        <v>178.95499999999998</v>
      </c>
      <c r="F41" s="46" t="s">
        <v>10</v>
      </c>
      <c r="G41" s="54">
        <v>71.040000000000006</v>
      </c>
      <c r="H41" s="52">
        <v>49.4</v>
      </c>
      <c r="I41" s="53">
        <f>G41+H41</f>
        <v>120.44</v>
      </c>
      <c r="J41" s="52">
        <f>ROUND(I41*E41,2)</f>
        <v>21553.34</v>
      </c>
      <c r="K41" s="39">
        <v>0.2387</v>
      </c>
      <c r="L41" s="38">
        <f>ROUND((1+K41)*E41*G41,2)</f>
        <v>15747.55</v>
      </c>
      <c r="M41" s="38">
        <f>ROUND((1+K41)*E41*H41,2)</f>
        <v>10950.57</v>
      </c>
      <c r="N41" s="38">
        <f>ROUND(L41+M41,2)</f>
        <v>26698.12</v>
      </c>
      <c r="O41" s="34"/>
      <c r="P41" s="34"/>
      <c r="Q41" s="36"/>
      <c r="R41" s="6"/>
      <c r="S41" s="6"/>
      <c r="T41" s="6"/>
      <c r="U41" s="6"/>
      <c r="V41" s="6"/>
      <c r="W41" s="6"/>
      <c r="X41" s="6"/>
      <c r="Y41" s="6"/>
      <c r="Z41" s="6"/>
      <c r="AA41" s="6"/>
      <c r="AB41" s="6"/>
      <c r="AC41" s="6"/>
      <c r="AD41" s="6"/>
      <c r="AE41" s="6"/>
      <c r="AF41" s="6"/>
      <c r="AG41" s="6"/>
      <c r="AH41" s="6"/>
      <c r="AI41" s="6"/>
    </row>
    <row r="42" spans="2:35" ht="32.25" customHeight="1" x14ac:dyDescent="0.25">
      <c r="B42" s="47" t="s">
        <v>282</v>
      </c>
      <c r="C42" s="57">
        <v>92759</v>
      </c>
      <c r="D42" s="60" t="str">
        <f>'[1]MEMORIAL DE CÁLCULO'!D34</f>
        <v>ARMAÇÃO DE VIGA DE UMA ESTRUTURA CONVENCIONAL DE CONCRETO ARMADO UTILIZANDO AÇO CA-60 DE 5,0 MM - MONTAGEM.</v>
      </c>
      <c r="E42" s="59">
        <f>'[1]MEMORIAL DE CÁLCULO'!E34</f>
        <v>173.46560000000002</v>
      </c>
      <c r="F42" s="46" t="str">
        <f>'[1]MEMORIAL DE CÁLCULO'!F34</f>
        <v>kg</v>
      </c>
      <c r="G42" s="54">
        <v>12.66</v>
      </c>
      <c r="H42" s="52">
        <v>3.3</v>
      </c>
      <c r="I42" s="53">
        <f>G42+H42</f>
        <v>15.96</v>
      </c>
      <c r="J42" s="52">
        <f>ROUND(I42*E42,2)</f>
        <v>2768.51</v>
      </c>
      <c r="K42" s="39">
        <v>0.2387</v>
      </c>
      <c r="L42" s="38">
        <f>ROUND((1+K42)*E42*G42,2)</f>
        <v>2720.28</v>
      </c>
      <c r="M42" s="38">
        <f>ROUND((1+K42)*E42*H42,2)</f>
        <v>709.08</v>
      </c>
      <c r="N42" s="38">
        <f>ROUND(L42+M42,2)</f>
        <v>3429.36</v>
      </c>
      <c r="O42" s="34"/>
      <c r="P42" s="34"/>
      <c r="Q42" s="36"/>
      <c r="R42" s="6"/>
      <c r="S42" s="6"/>
      <c r="T42" s="6"/>
      <c r="U42" s="6"/>
      <c r="V42" s="6"/>
      <c r="W42" s="6"/>
      <c r="X42" s="6"/>
      <c r="Y42" s="6"/>
      <c r="Z42" s="6"/>
      <c r="AA42" s="6"/>
      <c r="AB42" s="6"/>
      <c r="AC42" s="6"/>
      <c r="AD42" s="6"/>
      <c r="AE42" s="6"/>
      <c r="AF42" s="6"/>
      <c r="AG42" s="6"/>
      <c r="AH42" s="6"/>
      <c r="AI42" s="6"/>
    </row>
    <row r="43" spans="2:35" ht="32.25" customHeight="1" x14ac:dyDescent="0.25">
      <c r="B43" s="47" t="s">
        <v>281</v>
      </c>
      <c r="C43" s="57">
        <v>92762</v>
      </c>
      <c r="D43" s="60" t="str">
        <f>'[1]MEMORIAL DE CÁLCULO'!D35</f>
        <v>ARMAÇÃO DE VIGA DE UMA ESTRUTURA CONVENCIONAL DE CONCRETO ARMADO UTILIZANDO AÇO CA-50 DE 10,0 MM - MONTAGEM.</v>
      </c>
      <c r="E43" s="59">
        <f>'[1]MEMORIAL DE CÁLCULO'!E35</f>
        <v>631.80799999999999</v>
      </c>
      <c r="F43" s="46" t="str">
        <f>'[1]MEMORIAL DE CÁLCULO'!F35</f>
        <v>kg</v>
      </c>
      <c r="G43" s="54">
        <v>12.94</v>
      </c>
      <c r="H43" s="52">
        <v>0.92</v>
      </c>
      <c r="I43" s="53">
        <f>G43+H43</f>
        <v>13.86</v>
      </c>
      <c r="J43" s="52">
        <f>ROUND(I43*E43,2)</f>
        <v>8756.86</v>
      </c>
      <c r="K43" s="39">
        <v>0.2387</v>
      </c>
      <c r="L43" s="38">
        <f>ROUND((1+K43)*E43*G43,2)</f>
        <v>10127.11</v>
      </c>
      <c r="M43" s="38">
        <f>ROUND((1+K43)*E43*H43,2)</f>
        <v>720.01</v>
      </c>
      <c r="N43" s="38">
        <f>ROUND(L43+M43,2)</f>
        <v>10847.12</v>
      </c>
      <c r="O43" s="34"/>
      <c r="P43" s="34"/>
      <c r="Q43" s="36"/>
      <c r="R43" s="6"/>
      <c r="S43" s="6"/>
      <c r="T43" s="6"/>
      <c r="U43" s="6"/>
      <c r="V43" s="6"/>
      <c r="W43" s="6"/>
      <c r="X43" s="6"/>
      <c r="Y43" s="6"/>
      <c r="Z43" s="6"/>
      <c r="AA43" s="6"/>
      <c r="AB43" s="6"/>
      <c r="AC43" s="6"/>
      <c r="AD43" s="6"/>
      <c r="AE43" s="6"/>
      <c r="AF43" s="6"/>
      <c r="AG43" s="6"/>
      <c r="AH43" s="6"/>
      <c r="AI43" s="6"/>
    </row>
    <row r="44" spans="2:35" ht="33" customHeight="1" x14ac:dyDescent="0.25">
      <c r="B44" s="47" t="s">
        <v>280</v>
      </c>
      <c r="C44" s="46">
        <v>103675</v>
      </c>
      <c r="D44" s="60" t="s">
        <v>279</v>
      </c>
      <c r="E44" s="59">
        <f>'[1]MEMORIAL DE CÁLCULO'!E36</f>
        <v>15.36</v>
      </c>
      <c r="F44" s="46" t="s">
        <v>37</v>
      </c>
      <c r="G44" s="54">
        <f>573.44+0.08+0.05</f>
        <v>573.57000000000005</v>
      </c>
      <c r="H44" s="52">
        <v>27.27</v>
      </c>
      <c r="I44" s="53">
        <f>G44+H44</f>
        <v>600.84</v>
      </c>
      <c r="J44" s="52">
        <f>ROUND(I44*E44,2)</f>
        <v>9228.9</v>
      </c>
      <c r="K44" s="39">
        <v>0.2387</v>
      </c>
      <c r="L44" s="38">
        <f>ROUND((1+K44)*E44*G44,2)</f>
        <v>10912.99</v>
      </c>
      <c r="M44" s="38">
        <f>ROUND((1+K44)*E44*H44,2)</f>
        <v>518.85</v>
      </c>
      <c r="N44" s="38">
        <f>ROUND(L44+M44,2)</f>
        <v>11431.84</v>
      </c>
      <c r="O44" s="34"/>
      <c r="P44" s="34"/>
      <c r="Q44" s="36"/>
      <c r="R44" s="6"/>
      <c r="S44" s="6"/>
      <c r="T44" s="6"/>
      <c r="U44" s="6"/>
      <c r="V44" s="6"/>
      <c r="W44" s="6"/>
      <c r="X44" s="6"/>
      <c r="Y44" s="6"/>
      <c r="Z44" s="6"/>
      <c r="AA44" s="6"/>
      <c r="AB44" s="6"/>
      <c r="AC44" s="6"/>
      <c r="AD44" s="6"/>
      <c r="AE44" s="6"/>
      <c r="AF44" s="6"/>
      <c r="AG44" s="6"/>
      <c r="AH44" s="6"/>
      <c r="AI44" s="6"/>
    </row>
    <row r="45" spans="2:35" ht="20.25" customHeight="1" x14ac:dyDescent="0.25">
      <c r="B45" s="102" t="s">
        <v>278</v>
      </c>
      <c r="C45" s="103"/>
      <c r="D45" s="63"/>
      <c r="E45" s="63"/>
      <c r="F45" s="50"/>
      <c r="G45" s="50"/>
      <c r="H45" s="50"/>
      <c r="I45" s="63"/>
      <c r="J45" s="63"/>
      <c r="K45" s="63"/>
      <c r="L45" s="63"/>
      <c r="M45" s="63"/>
      <c r="N45" s="62"/>
      <c r="O45" s="34"/>
      <c r="P45" s="34"/>
      <c r="Q45" s="36"/>
      <c r="R45" s="6"/>
      <c r="S45" s="6"/>
      <c r="T45" s="6"/>
      <c r="U45" s="6"/>
      <c r="V45" s="6"/>
      <c r="W45" s="6"/>
      <c r="X45" s="6"/>
      <c r="Y45" s="6"/>
      <c r="Z45" s="6"/>
      <c r="AA45" s="6"/>
      <c r="AB45" s="6"/>
      <c r="AC45" s="6"/>
      <c r="AD45" s="6"/>
      <c r="AE45" s="6"/>
      <c r="AF45" s="6"/>
      <c r="AG45" s="6"/>
      <c r="AH45" s="6"/>
      <c r="AI45" s="6"/>
    </row>
    <row r="46" spans="2:35" ht="32.25" customHeight="1" x14ac:dyDescent="0.25">
      <c r="B46" s="47" t="s">
        <v>277</v>
      </c>
      <c r="C46" s="46">
        <f>'[1]MEMORIAL DE CÁLCULO'!C38</f>
        <v>97084</v>
      </c>
      <c r="D46" s="60" t="str">
        <f>'[1]MEMORIAL DE CÁLCULO'!D38</f>
        <v>COMPACTAÇÃO MECÂNICA DE SOLO PARA EXECUÇÃO DE RADIER, PISO DE CONCRETO OU LAJE SOBRE SOLO, COM COMPACTADOR DE SOLOS TIPO PLACA VIBRATÓRIA.</v>
      </c>
      <c r="E46" s="59">
        <f>'[1]MEMORIAL DE CÁLCULO'!E38</f>
        <v>53</v>
      </c>
      <c r="F46" s="46" t="s">
        <v>10</v>
      </c>
      <c r="G46" s="54">
        <v>0.14000000000000001</v>
      </c>
      <c r="H46" s="52">
        <v>0.46</v>
      </c>
      <c r="I46" s="53">
        <f t="shared" ref="I46:I53" si="10">G46+H46</f>
        <v>0.60000000000000009</v>
      </c>
      <c r="J46" s="52">
        <f t="shared" ref="J46:J53" si="11">ROUND(I46*E46,2)</f>
        <v>31.8</v>
      </c>
      <c r="K46" s="39">
        <v>0.2387</v>
      </c>
      <c r="L46" s="38">
        <f t="shared" ref="L46:L53" si="12">ROUND((1+K46)*E46*G46,2)</f>
        <v>9.19</v>
      </c>
      <c r="M46" s="38">
        <f t="shared" ref="M46:M53" si="13">ROUND((1+K46)*E46*H46,2)</f>
        <v>30.2</v>
      </c>
      <c r="N46" s="38">
        <f t="shared" ref="N46:N53" si="14">ROUND(L46+M46,2)</f>
        <v>39.39</v>
      </c>
      <c r="O46" s="34"/>
      <c r="P46" s="34"/>
      <c r="Q46" s="36"/>
      <c r="R46" s="6"/>
      <c r="S46" s="6"/>
      <c r="T46" s="6"/>
      <c r="U46" s="6"/>
      <c r="V46" s="6"/>
      <c r="W46" s="6"/>
      <c r="X46" s="6"/>
      <c r="Y46" s="6"/>
      <c r="Z46" s="6"/>
      <c r="AA46" s="6"/>
      <c r="AB46" s="6"/>
      <c r="AC46" s="6"/>
      <c r="AD46" s="6"/>
      <c r="AE46" s="6"/>
      <c r="AF46" s="6"/>
      <c r="AG46" s="6"/>
      <c r="AH46" s="6"/>
      <c r="AI46" s="6"/>
    </row>
    <row r="47" spans="2:35" ht="32.25" customHeight="1" x14ac:dyDescent="0.25">
      <c r="B47" s="47" t="s">
        <v>276</v>
      </c>
      <c r="C47" s="46">
        <f>'[1]MEMORIAL DE CÁLCULO'!C39</f>
        <v>97102</v>
      </c>
      <c r="D47" s="60" t="str">
        <f>'[1]MEMORIAL DE CÁLCULO'!D39</f>
        <v>EXECUÇÃO DE RADIER, ESPESSURA DE 15 CM, FCK = 30 MPA, COM USO DE FORMAS EM MADEIRA SERRADA.</v>
      </c>
      <c r="E47" s="59">
        <f>'[1]MEMORIAL DE CÁLCULO'!E39</f>
        <v>53</v>
      </c>
      <c r="F47" s="46" t="s">
        <v>10</v>
      </c>
      <c r="G47" s="54">
        <f>208.69+0.07</f>
        <v>208.76</v>
      </c>
      <c r="H47" s="52">
        <v>17.97</v>
      </c>
      <c r="I47" s="53">
        <f t="shared" si="10"/>
        <v>226.73</v>
      </c>
      <c r="J47" s="52">
        <f t="shared" si="11"/>
        <v>12016.69</v>
      </c>
      <c r="K47" s="39">
        <v>0.2387</v>
      </c>
      <c r="L47" s="38">
        <f t="shared" si="12"/>
        <v>13705.32</v>
      </c>
      <c r="M47" s="38">
        <f t="shared" si="13"/>
        <v>1179.75</v>
      </c>
      <c r="N47" s="38">
        <f t="shared" si="14"/>
        <v>14885.07</v>
      </c>
      <c r="O47" s="34"/>
      <c r="P47" s="34"/>
      <c r="Q47" s="36"/>
      <c r="R47" s="6"/>
      <c r="S47" s="6"/>
      <c r="T47" s="6"/>
      <c r="U47" s="6"/>
      <c r="V47" s="6"/>
      <c r="W47" s="6"/>
      <c r="X47" s="6"/>
      <c r="Y47" s="6"/>
      <c r="Z47" s="6"/>
      <c r="AA47" s="6"/>
      <c r="AB47" s="6"/>
      <c r="AC47" s="6"/>
      <c r="AD47" s="6"/>
      <c r="AE47" s="6"/>
      <c r="AF47" s="6"/>
      <c r="AG47" s="6"/>
      <c r="AH47" s="6"/>
      <c r="AI47" s="6"/>
    </row>
    <row r="48" spans="2:35" ht="34.5" customHeight="1" x14ac:dyDescent="0.25">
      <c r="B48" s="47" t="s">
        <v>275</v>
      </c>
      <c r="C48" s="46">
        <v>101165</v>
      </c>
      <c r="D48" s="60" t="s">
        <v>274</v>
      </c>
      <c r="E48" s="59">
        <f>'[1]MEMORIAL DE CÁLCULO'!E40</f>
        <v>14</v>
      </c>
      <c r="F48" s="59" t="s">
        <v>37</v>
      </c>
      <c r="G48" s="54">
        <v>624.94000000000005</v>
      </c>
      <c r="H48" s="52">
        <v>266.55</v>
      </c>
      <c r="I48" s="53">
        <f t="shared" si="10"/>
        <v>891.49</v>
      </c>
      <c r="J48" s="52">
        <f t="shared" si="11"/>
        <v>12480.86</v>
      </c>
      <c r="K48" s="39">
        <v>0.2387</v>
      </c>
      <c r="L48" s="38">
        <f t="shared" si="12"/>
        <v>10837.58</v>
      </c>
      <c r="M48" s="38">
        <f t="shared" si="13"/>
        <v>4622.46</v>
      </c>
      <c r="N48" s="38">
        <f t="shared" si="14"/>
        <v>15460.04</v>
      </c>
      <c r="O48" s="34"/>
      <c r="P48" s="34"/>
      <c r="Q48" s="36"/>
      <c r="R48" s="6"/>
      <c r="S48" s="6"/>
      <c r="T48" s="6"/>
      <c r="U48" s="6"/>
      <c r="V48" s="6"/>
      <c r="W48" s="6"/>
      <c r="X48" s="6"/>
      <c r="Y48" s="6"/>
      <c r="Z48" s="6"/>
      <c r="AA48" s="6"/>
      <c r="AB48" s="6"/>
      <c r="AC48" s="6"/>
      <c r="AD48" s="6"/>
      <c r="AE48" s="6"/>
      <c r="AF48" s="6"/>
      <c r="AG48" s="6"/>
      <c r="AH48" s="6"/>
      <c r="AI48" s="6"/>
    </row>
    <row r="49" spans="2:35" ht="32.25" customHeight="1" x14ac:dyDescent="0.25">
      <c r="B49" s="47" t="s">
        <v>273</v>
      </c>
      <c r="C49" s="46">
        <v>101963</v>
      </c>
      <c r="D49" s="60" t="s">
        <v>272</v>
      </c>
      <c r="E49" s="59">
        <f>'[1]MEMORIAL DE CÁLCULO'!E41</f>
        <v>60</v>
      </c>
      <c r="F49" s="59" t="s">
        <v>10</v>
      </c>
      <c r="G49" s="54">
        <v>151.05000000000001</v>
      </c>
      <c r="H49" s="52">
        <v>23.45</v>
      </c>
      <c r="I49" s="53">
        <f t="shared" si="10"/>
        <v>174.5</v>
      </c>
      <c r="J49" s="52">
        <f t="shared" si="11"/>
        <v>10470</v>
      </c>
      <c r="K49" s="39">
        <v>0.2387</v>
      </c>
      <c r="L49" s="38">
        <f t="shared" si="12"/>
        <v>11226.34</v>
      </c>
      <c r="M49" s="38">
        <f t="shared" si="13"/>
        <v>1742.85</v>
      </c>
      <c r="N49" s="38">
        <f t="shared" si="14"/>
        <v>12969.19</v>
      </c>
      <c r="O49" s="34"/>
      <c r="P49" s="34"/>
      <c r="Q49" s="36"/>
      <c r="R49" s="6"/>
      <c r="S49" s="6"/>
      <c r="T49" s="6"/>
      <c r="U49" s="6"/>
      <c r="V49" s="6"/>
      <c r="W49" s="6"/>
      <c r="X49" s="6"/>
      <c r="Y49" s="6"/>
      <c r="Z49" s="6"/>
      <c r="AA49" s="6"/>
      <c r="AB49" s="6"/>
      <c r="AC49" s="6"/>
      <c r="AD49" s="6"/>
      <c r="AE49" s="6"/>
      <c r="AF49" s="6"/>
      <c r="AG49" s="6"/>
      <c r="AH49" s="6"/>
      <c r="AI49" s="6"/>
    </row>
    <row r="50" spans="2:35" ht="32.25" customHeight="1" x14ac:dyDescent="0.25">
      <c r="B50" s="47" t="s">
        <v>271</v>
      </c>
      <c r="C50" s="46">
        <v>87620</v>
      </c>
      <c r="D50" s="60" t="s">
        <v>270</v>
      </c>
      <c r="E50" s="59">
        <f>'[1]MEMORIAL DE CÁLCULO'!E42</f>
        <v>60</v>
      </c>
      <c r="F50" s="59" t="s">
        <v>10</v>
      </c>
      <c r="G50" s="54">
        <v>21.57</v>
      </c>
      <c r="H50" s="52">
        <v>8.1</v>
      </c>
      <c r="I50" s="53">
        <f t="shared" si="10"/>
        <v>29.67</v>
      </c>
      <c r="J50" s="52">
        <f t="shared" si="11"/>
        <v>1780.2</v>
      </c>
      <c r="K50" s="39">
        <v>0.2387</v>
      </c>
      <c r="L50" s="38">
        <f t="shared" si="12"/>
        <v>1603.13</v>
      </c>
      <c r="M50" s="38">
        <f t="shared" si="13"/>
        <v>602.01</v>
      </c>
      <c r="N50" s="38">
        <f t="shared" si="14"/>
        <v>2205.14</v>
      </c>
      <c r="O50" s="34"/>
      <c r="P50" s="34"/>
      <c r="Q50" s="36"/>
      <c r="R50" s="6"/>
      <c r="S50" s="6"/>
      <c r="T50" s="6"/>
      <c r="U50" s="6"/>
      <c r="V50" s="6"/>
      <c r="W50" s="6"/>
      <c r="X50" s="6"/>
      <c r="Y50" s="6"/>
      <c r="Z50" s="6"/>
      <c r="AA50" s="6"/>
      <c r="AB50" s="6"/>
      <c r="AC50" s="6"/>
      <c r="AD50" s="6"/>
      <c r="AE50" s="6"/>
      <c r="AF50" s="6"/>
      <c r="AG50" s="6"/>
      <c r="AH50" s="6"/>
      <c r="AI50" s="6"/>
    </row>
    <row r="51" spans="2:35" ht="32.25" customHeight="1" x14ac:dyDescent="0.25">
      <c r="B51" s="47" t="s">
        <v>269</v>
      </c>
      <c r="C51" s="46">
        <v>103334</v>
      </c>
      <c r="D51" s="60" t="s">
        <v>268</v>
      </c>
      <c r="E51" s="59">
        <f>'[1]MEMORIAL DE CÁLCULO'!E43</f>
        <v>39</v>
      </c>
      <c r="F51" s="59" t="s">
        <v>10</v>
      </c>
      <c r="G51" s="54">
        <v>70.25</v>
      </c>
      <c r="H51" s="52">
        <v>59.36</v>
      </c>
      <c r="I51" s="53">
        <f t="shared" si="10"/>
        <v>129.61000000000001</v>
      </c>
      <c r="J51" s="52">
        <f t="shared" si="11"/>
        <v>5054.79</v>
      </c>
      <c r="K51" s="39">
        <v>0.2387</v>
      </c>
      <c r="L51" s="38">
        <f t="shared" si="12"/>
        <v>3393.73</v>
      </c>
      <c r="M51" s="38">
        <f t="shared" si="13"/>
        <v>2867.64</v>
      </c>
      <c r="N51" s="38">
        <f t="shared" si="14"/>
        <v>6261.37</v>
      </c>
      <c r="O51" s="34"/>
      <c r="P51" s="34"/>
      <c r="Q51" s="36"/>
      <c r="R51" s="6"/>
      <c r="S51" s="6"/>
      <c r="T51" s="6"/>
      <c r="U51" s="6"/>
      <c r="V51" s="6"/>
      <c r="W51" s="6"/>
      <c r="X51" s="6"/>
      <c r="Y51" s="6"/>
      <c r="Z51" s="6"/>
      <c r="AA51" s="6"/>
      <c r="AB51" s="6"/>
      <c r="AC51" s="6"/>
      <c r="AD51" s="6"/>
      <c r="AE51" s="6"/>
      <c r="AF51" s="6"/>
      <c r="AG51" s="6"/>
      <c r="AH51" s="6"/>
      <c r="AI51" s="6"/>
    </row>
    <row r="52" spans="2:35" ht="20.25" customHeight="1" x14ac:dyDescent="0.25">
      <c r="B52" s="47" t="s">
        <v>267</v>
      </c>
      <c r="C52" s="46">
        <v>87879</v>
      </c>
      <c r="D52" s="60" t="s">
        <v>266</v>
      </c>
      <c r="E52" s="87">
        <f>'[1]MEMORIAL DE CÁLCULO'!E44</f>
        <v>64</v>
      </c>
      <c r="F52" s="57" t="s">
        <v>10</v>
      </c>
      <c r="G52" s="54">
        <v>2.1800000000000002</v>
      </c>
      <c r="H52" s="52">
        <v>1.71</v>
      </c>
      <c r="I52" s="53">
        <f t="shared" si="10"/>
        <v>3.89</v>
      </c>
      <c r="J52" s="52">
        <f t="shared" si="11"/>
        <v>248.96</v>
      </c>
      <c r="K52" s="39">
        <v>0.2387</v>
      </c>
      <c r="L52" s="38">
        <f t="shared" si="12"/>
        <v>172.82</v>
      </c>
      <c r="M52" s="38">
        <f t="shared" si="13"/>
        <v>135.56</v>
      </c>
      <c r="N52" s="38">
        <f t="shared" si="14"/>
        <v>308.38</v>
      </c>
      <c r="O52" s="34"/>
      <c r="P52" s="34"/>
      <c r="Q52" s="36"/>
      <c r="R52" s="6"/>
      <c r="S52" s="6"/>
      <c r="T52" s="6"/>
      <c r="U52" s="6"/>
      <c r="V52" s="6"/>
      <c r="W52" s="6"/>
      <c r="X52" s="6"/>
      <c r="Y52" s="6"/>
      <c r="Z52" s="6"/>
      <c r="AA52" s="6"/>
      <c r="AB52" s="6"/>
      <c r="AC52" s="6"/>
      <c r="AD52" s="6"/>
      <c r="AE52" s="6"/>
      <c r="AF52" s="6"/>
      <c r="AG52" s="6"/>
      <c r="AH52" s="6"/>
      <c r="AI52" s="6"/>
    </row>
    <row r="53" spans="2:35" ht="20.25" customHeight="1" x14ac:dyDescent="0.25">
      <c r="B53" s="47" t="s">
        <v>265</v>
      </c>
      <c r="C53" s="46">
        <v>87529</v>
      </c>
      <c r="D53" s="60" t="s">
        <v>264</v>
      </c>
      <c r="E53" s="87">
        <f>'[1]MEMORIAL DE CÁLCULO'!E45</f>
        <v>64</v>
      </c>
      <c r="F53" s="57" t="s">
        <v>10</v>
      </c>
      <c r="G53" s="54">
        <v>18.28</v>
      </c>
      <c r="H53" s="52">
        <v>13.95</v>
      </c>
      <c r="I53" s="53">
        <f t="shared" si="10"/>
        <v>32.230000000000004</v>
      </c>
      <c r="J53" s="52">
        <f t="shared" si="11"/>
        <v>2062.7199999999998</v>
      </c>
      <c r="K53" s="39">
        <v>0.2387</v>
      </c>
      <c r="L53" s="38">
        <f t="shared" si="12"/>
        <v>1449.18</v>
      </c>
      <c r="M53" s="38">
        <f t="shared" si="13"/>
        <v>1105.9100000000001</v>
      </c>
      <c r="N53" s="38">
        <f t="shared" si="14"/>
        <v>2555.09</v>
      </c>
      <c r="O53" s="34"/>
      <c r="P53" s="34"/>
      <c r="Q53" s="36"/>
      <c r="R53" s="6"/>
      <c r="S53" s="6"/>
      <c r="T53" s="6"/>
      <c r="U53" s="6"/>
      <c r="V53" s="6"/>
      <c r="W53" s="6"/>
      <c r="X53" s="6"/>
      <c r="Y53" s="6"/>
      <c r="Z53" s="6"/>
      <c r="AA53" s="6"/>
      <c r="AB53" s="6"/>
      <c r="AC53" s="6"/>
      <c r="AD53" s="6"/>
      <c r="AE53" s="6"/>
      <c r="AF53" s="6"/>
      <c r="AG53" s="6"/>
      <c r="AH53" s="6"/>
      <c r="AI53" s="6"/>
    </row>
    <row r="54" spans="2:35" ht="20.25" customHeight="1" x14ac:dyDescent="0.25">
      <c r="B54" s="111" t="s">
        <v>263</v>
      </c>
      <c r="C54" s="111"/>
      <c r="D54" s="111"/>
      <c r="E54" s="111"/>
      <c r="F54" s="111"/>
      <c r="G54" s="111"/>
      <c r="H54" s="111"/>
      <c r="I54" s="111"/>
      <c r="J54" s="111"/>
      <c r="K54" s="111"/>
      <c r="L54" s="37">
        <f>SUM(L36:L53)</f>
        <v>109768.73999999999</v>
      </c>
      <c r="M54" s="37">
        <f>SUM(M36:M53)</f>
        <v>30501.469999999994</v>
      </c>
      <c r="N54" s="37">
        <f>SUM(N36:N53)</f>
        <v>140270.21000000002</v>
      </c>
      <c r="O54" s="34"/>
      <c r="P54" s="34"/>
      <c r="Q54" s="36"/>
      <c r="R54" s="6"/>
      <c r="S54" s="6"/>
      <c r="T54" s="6"/>
      <c r="U54" s="6"/>
      <c r="V54" s="6"/>
      <c r="W54" s="6"/>
      <c r="X54" s="6"/>
      <c r="Y54" s="6"/>
      <c r="Z54" s="6"/>
      <c r="AA54" s="6"/>
      <c r="AB54" s="6"/>
      <c r="AC54" s="6"/>
      <c r="AD54" s="6"/>
      <c r="AE54" s="6"/>
      <c r="AF54" s="6"/>
      <c r="AG54" s="6"/>
      <c r="AH54" s="6"/>
      <c r="AI54" s="6"/>
    </row>
    <row r="55" spans="2:35" ht="20.25" customHeight="1" x14ac:dyDescent="0.25">
      <c r="B55" s="51">
        <v>5</v>
      </c>
      <c r="C55" s="103" t="s">
        <v>262</v>
      </c>
      <c r="D55" s="103"/>
      <c r="E55" s="63"/>
      <c r="F55" s="50"/>
      <c r="G55" s="50"/>
      <c r="H55" s="50"/>
      <c r="I55" s="63"/>
      <c r="J55" s="63"/>
      <c r="K55" s="63"/>
      <c r="L55" s="63"/>
      <c r="M55" s="63"/>
      <c r="N55" s="62"/>
      <c r="O55" s="34"/>
      <c r="P55" s="34"/>
      <c r="Q55" s="36"/>
      <c r="R55" s="6"/>
      <c r="S55" s="6"/>
      <c r="T55" s="6"/>
      <c r="U55" s="6"/>
      <c r="V55" s="6"/>
      <c r="W55" s="6"/>
      <c r="X55" s="6"/>
      <c r="Y55" s="6"/>
      <c r="Z55" s="6"/>
      <c r="AA55" s="6"/>
      <c r="AB55" s="6"/>
      <c r="AC55" s="6"/>
      <c r="AD55" s="6"/>
      <c r="AE55" s="6"/>
      <c r="AF55" s="6"/>
      <c r="AG55" s="6"/>
      <c r="AH55" s="6"/>
      <c r="AI55" s="6"/>
    </row>
    <row r="56" spans="2:35" s="6" customFormat="1" ht="50.25" customHeight="1" x14ac:dyDescent="0.25">
      <c r="B56" s="47" t="s">
        <v>261</v>
      </c>
      <c r="C56" s="93" t="s">
        <v>260</v>
      </c>
      <c r="D56" s="89" t="s">
        <v>259</v>
      </c>
      <c r="E56" s="44">
        <v>6048</v>
      </c>
      <c r="F56" s="43" t="s">
        <v>40</v>
      </c>
      <c r="G56" s="42">
        <v>18.989999999999998</v>
      </c>
      <c r="H56" s="42">
        <v>0.73</v>
      </c>
      <c r="I56" s="41">
        <f t="shared" ref="I56:I62" si="15">G56+H56</f>
        <v>19.72</v>
      </c>
      <c r="J56" s="40">
        <f t="shared" ref="J56:J62" si="16">ROUND(I56*E56,2)</f>
        <v>119266.56</v>
      </c>
      <c r="K56" s="39">
        <v>0.2387</v>
      </c>
      <c r="L56" s="38">
        <f t="shared" ref="L56:L62" si="17">ROUND((1+K56)*E56*G56,2)</f>
        <v>142266.57999999999</v>
      </c>
      <c r="M56" s="38">
        <f t="shared" ref="M56:M62" si="18">ROUND((1+K56)*E56*H56,2)</f>
        <v>5468.91</v>
      </c>
      <c r="N56" s="38">
        <f t="shared" ref="N56:N62" si="19">ROUND(L56+M56,2)</f>
        <v>147735.49</v>
      </c>
      <c r="O56" s="34"/>
      <c r="P56" s="34"/>
      <c r="Q56" s="36"/>
    </row>
    <row r="57" spans="2:35" s="6" customFormat="1" ht="49.5" customHeight="1" x14ac:dyDescent="0.25">
      <c r="B57" s="47" t="s">
        <v>258</v>
      </c>
      <c r="C57" s="93" t="s">
        <v>257</v>
      </c>
      <c r="D57" s="89" t="s">
        <v>256</v>
      </c>
      <c r="E57" s="44">
        <v>2105.7399999999998</v>
      </c>
      <c r="F57" s="43" t="s">
        <v>40</v>
      </c>
      <c r="G57" s="42">
        <v>20.329999999999998</v>
      </c>
      <c r="H57" s="42">
        <v>1.4</v>
      </c>
      <c r="I57" s="41">
        <f t="shared" si="15"/>
        <v>21.729999999999997</v>
      </c>
      <c r="J57" s="40">
        <f t="shared" si="16"/>
        <v>45757.73</v>
      </c>
      <c r="K57" s="39">
        <v>0.2387</v>
      </c>
      <c r="L57" s="38">
        <f t="shared" si="17"/>
        <v>53028.37</v>
      </c>
      <c r="M57" s="38">
        <f t="shared" si="18"/>
        <v>3651.73</v>
      </c>
      <c r="N57" s="38">
        <f t="shared" si="19"/>
        <v>56680.1</v>
      </c>
      <c r="O57" s="34"/>
      <c r="P57" s="34"/>
      <c r="Q57" s="36"/>
    </row>
    <row r="58" spans="2:35" s="6" customFormat="1" ht="49.5" customHeight="1" x14ac:dyDescent="0.25">
      <c r="B58" s="47" t="s">
        <v>255</v>
      </c>
      <c r="C58" s="93" t="s">
        <v>252</v>
      </c>
      <c r="D58" s="89" t="s">
        <v>254</v>
      </c>
      <c r="E58" s="44">
        <v>1335.3</v>
      </c>
      <c r="F58" s="43" t="s">
        <v>40</v>
      </c>
      <c r="G58" s="42">
        <v>21.65</v>
      </c>
      <c r="H58" s="42">
        <v>1.54</v>
      </c>
      <c r="I58" s="41">
        <f t="shared" si="15"/>
        <v>23.189999999999998</v>
      </c>
      <c r="J58" s="40">
        <f t="shared" si="16"/>
        <v>30965.61</v>
      </c>
      <c r="K58" s="39">
        <v>0.2387</v>
      </c>
      <c r="L58" s="38">
        <f t="shared" si="17"/>
        <v>35809.879999999997</v>
      </c>
      <c r="M58" s="38">
        <f t="shared" si="18"/>
        <v>2547.2199999999998</v>
      </c>
      <c r="N58" s="38">
        <f t="shared" si="19"/>
        <v>38357.1</v>
      </c>
      <c r="O58" s="34"/>
      <c r="P58" s="34"/>
      <c r="Q58" s="36"/>
    </row>
    <row r="59" spans="2:35" s="6" customFormat="1" ht="49.5" customHeight="1" x14ac:dyDescent="0.25">
      <c r="B59" s="47" t="s">
        <v>253</v>
      </c>
      <c r="C59" s="93" t="s">
        <v>252</v>
      </c>
      <c r="D59" s="89" t="s">
        <v>251</v>
      </c>
      <c r="E59" s="44">
        <v>495.6</v>
      </c>
      <c r="F59" s="43" t="s">
        <v>40</v>
      </c>
      <c r="G59" s="42">
        <v>21.65</v>
      </c>
      <c r="H59" s="42">
        <v>1.54</v>
      </c>
      <c r="I59" s="41">
        <f t="shared" si="15"/>
        <v>23.189999999999998</v>
      </c>
      <c r="J59" s="40">
        <f t="shared" si="16"/>
        <v>11492.96</v>
      </c>
      <c r="K59" s="39">
        <v>0.2387</v>
      </c>
      <c r="L59" s="38">
        <f t="shared" si="17"/>
        <v>13290.93</v>
      </c>
      <c r="M59" s="38">
        <f t="shared" si="18"/>
        <v>945.41</v>
      </c>
      <c r="N59" s="38">
        <f t="shared" si="19"/>
        <v>14236.34</v>
      </c>
      <c r="O59" s="34"/>
      <c r="P59" s="34"/>
      <c r="Q59" s="36"/>
    </row>
    <row r="60" spans="2:35" ht="18" customHeight="1" x14ac:dyDescent="0.25">
      <c r="B60" s="47" t="s">
        <v>250</v>
      </c>
      <c r="C60" s="57">
        <v>94213</v>
      </c>
      <c r="D60" s="65" t="s">
        <v>249</v>
      </c>
      <c r="E60" s="44">
        <v>345</v>
      </c>
      <c r="F60" s="55" t="s">
        <v>10</v>
      </c>
      <c r="G60" s="54">
        <v>81.400000000000006</v>
      </c>
      <c r="H60" s="52">
        <v>2.98</v>
      </c>
      <c r="I60" s="53">
        <f t="shared" si="15"/>
        <v>84.38000000000001</v>
      </c>
      <c r="J60" s="52">
        <f t="shared" si="16"/>
        <v>29111.1</v>
      </c>
      <c r="K60" s="39">
        <v>0.2387</v>
      </c>
      <c r="L60" s="38">
        <f t="shared" si="17"/>
        <v>34786.410000000003</v>
      </c>
      <c r="M60" s="38">
        <f t="shared" si="18"/>
        <v>1273.51</v>
      </c>
      <c r="N60" s="38">
        <f t="shared" si="19"/>
        <v>36059.919999999998</v>
      </c>
      <c r="O60" s="34"/>
      <c r="P60" s="34"/>
      <c r="Q60" s="36"/>
      <c r="R60" s="6"/>
      <c r="S60" s="6"/>
      <c r="T60" s="6"/>
      <c r="U60" s="6"/>
      <c r="V60" s="6"/>
      <c r="W60" s="6"/>
      <c r="X60" s="6"/>
      <c r="Y60" s="6"/>
      <c r="Z60" s="6"/>
      <c r="AA60" s="6"/>
      <c r="AB60" s="6"/>
      <c r="AC60" s="6"/>
      <c r="AD60" s="6"/>
      <c r="AE60" s="6"/>
      <c r="AF60" s="6"/>
      <c r="AG60" s="6"/>
      <c r="AH60" s="6"/>
      <c r="AI60" s="6"/>
    </row>
    <row r="61" spans="2:35" ht="39.75" customHeight="1" x14ac:dyDescent="0.25">
      <c r="B61" s="47" t="s">
        <v>248</v>
      </c>
      <c r="C61" s="57">
        <v>101964</v>
      </c>
      <c r="D61" s="65" t="s">
        <v>247</v>
      </c>
      <c r="E61" s="44">
        <f>89+189</f>
        <v>278</v>
      </c>
      <c r="F61" s="55" t="s">
        <v>10</v>
      </c>
      <c r="G61" s="54">
        <v>139.88399999999999</v>
      </c>
      <c r="H61" s="52">
        <v>22.18</v>
      </c>
      <c r="I61" s="53">
        <f t="shared" si="15"/>
        <v>162.06399999999999</v>
      </c>
      <c r="J61" s="52">
        <f t="shared" si="16"/>
        <v>45053.79</v>
      </c>
      <c r="K61" s="39">
        <v>0.2387</v>
      </c>
      <c r="L61" s="38">
        <f t="shared" si="17"/>
        <v>48170.26</v>
      </c>
      <c r="M61" s="38">
        <f t="shared" si="18"/>
        <v>7637.87</v>
      </c>
      <c r="N61" s="38">
        <f t="shared" si="19"/>
        <v>55808.13</v>
      </c>
      <c r="O61" s="34"/>
      <c r="P61" s="34"/>
      <c r="Q61" s="36"/>
      <c r="R61" s="6"/>
      <c r="S61" s="6"/>
      <c r="T61" s="6"/>
      <c r="U61" s="6"/>
      <c r="V61" s="6"/>
      <c r="W61" s="6"/>
      <c r="X61" s="6"/>
      <c r="Y61" s="6"/>
      <c r="Z61" s="6"/>
      <c r="AA61" s="6"/>
      <c r="AB61" s="6"/>
      <c r="AC61" s="6"/>
      <c r="AD61" s="6"/>
      <c r="AE61" s="6"/>
      <c r="AF61" s="6"/>
      <c r="AG61" s="6"/>
      <c r="AH61" s="6"/>
      <c r="AI61" s="6"/>
    </row>
    <row r="62" spans="2:35" ht="18" customHeight="1" x14ac:dyDescent="0.25">
      <c r="B62" s="47" t="s">
        <v>246</v>
      </c>
      <c r="C62" s="57">
        <v>90777</v>
      </c>
      <c r="D62" s="65" t="s">
        <v>245</v>
      </c>
      <c r="E62" s="44">
        <f>4*30</f>
        <v>120</v>
      </c>
      <c r="F62" s="55" t="s">
        <v>244</v>
      </c>
      <c r="G62" s="54">
        <v>1.54</v>
      </c>
      <c r="H62" s="52">
        <v>99.3</v>
      </c>
      <c r="I62" s="53">
        <f t="shared" si="15"/>
        <v>100.84</v>
      </c>
      <c r="J62" s="52">
        <f t="shared" si="16"/>
        <v>12100.8</v>
      </c>
      <c r="K62" s="39">
        <v>0.2387</v>
      </c>
      <c r="L62" s="38">
        <f t="shared" si="17"/>
        <v>228.91</v>
      </c>
      <c r="M62" s="38">
        <f t="shared" si="18"/>
        <v>14760.35</v>
      </c>
      <c r="N62" s="38">
        <f t="shared" si="19"/>
        <v>14989.26</v>
      </c>
      <c r="O62" s="34"/>
      <c r="P62" s="34"/>
      <c r="Q62" s="36"/>
      <c r="R62" s="6"/>
      <c r="S62" s="6"/>
      <c r="T62" s="6"/>
      <c r="U62" s="6"/>
      <c r="V62" s="6"/>
      <c r="W62" s="6"/>
      <c r="X62" s="6"/>
      <c r="Y62" s="6"/>
      <c r="Z62" s="6"/>
      <c r="AA62" s="6"/>
      <c r="AB62" s="6"/>
      <c r="AC62" s="6"/>
      <c r="AD62" s="6"/>
      <c r="AE62" s="6"/>
      <c r="AF62" s="6"/>
      <c r="AG62" s="6"/>
      <c r="AH62" s="6"/>
      <c r="AI62" s="6"/>
    </row>
    <row r="63" spans="2:35" ht="20.25" customHeight="1" x14ac:dyDescent="0.25">
      <c r="B63" s="107" t="s">
        <v>243</v>
      </c>
      <c r="C63" s="108"/>
      <c r="D63" s="108"/>
      <c r="E63" s="108"/>
      <c r="F63" s="108"/>
      <c r="G63" s="108"/>
      <c r="H63" s="108"/>
      <c r="I63" s="108"/>
      <c r="J63" s="108"/>
      <c r="K63" s="108"/>
      <c r="L63" s="37">
        <f>SUM(L56:L62)</f>
        <v>327581.33999999997</v>
      </c>
      <c r="M63" s="37">
        <f>SUM(M56:M62)</f>
        <v>36285</v>
      </c>
      <c r="N63" s="37">
        <f>SUM(N56:N62)</f>
        <v>363866.34</v>
      </c>
      <c r="O63" s="34"/>
      <c r="P63" s="34"/>
      <c r="Q63" s="36"/>
      <c r="R63" s="6"/>
      <c r="S63" s="6"/>
      <c r="T63" s="6"/>
      <c r="U63" s="6"/>
      <c r="V63" s="6"/>
      <c r="W63" s="6"/>
      <c r="X63" s="6"/>
      <c r="Y63" s="6"/>
      <c r="Z63" s="6"/>
      <c r="AA63" s="6"/>
      <c r="AB63" s="6"/>
      <c r="AC63" s="6"/>
      <c r="AD63" s="6"/>
      <c r="AE63" s="6"/>
      <c r="AF63" s="6"/>
      <c r="AG63" s="6"/>
      <c r="AH63" s="6"/>
      <c r="AI63" s="6"/>
    </row>
    <row r="64" spans="2:35" ht="20.25" customHeight="1" x14ac:dyDescent="0.25">
      <c r="B64" s="51">
        <v>6</v>
      </c>
      <c r="C64" s="109" t="s">
        <v>242</v>
      </c>
      <c r="D64" s="109"/>
      <c r="E64" s="109"/>
      <c r="F64" s="109"/>
      <c r="G64" s="109"/>
      <c r="H64" s="109"/>
      <c r="I64" s="109"/>
      <c r="J64" s="109"/>
      <c r="K64" s="109"/>
      <c r="L64" s="109"/>
      <c r="M64" s="109"/>
      <c r="N64" s="110"/>
      <c r="O64" s="34"/>
      <c r="P64" s="34"/>
      <c r="Q64" s="36"/>
      <c r="R64" s="6"/>
      <c r="S64" s="6"/>
      <c r="T64" s="6"/>
      <c r="U64" s="6"/>
      <c r="V64" s="6"/>
      <c r="W64" s="6"/>
      <c r="X64" s="6"/>
      <c r="Y64" s="6"/>
      <c r="Z64" s="6"/>
      <c r="AA64" s="6"/>
      <c r="AB64" s="6"/>
      <c r="AC64" s="6"/>
      <c r="AD64" s="6"/>
      <c r="AE64" s="6"/>
      <c r="AF64" s="6"/>
      <c r="AG64" s="6"/>
      <c r="AH64" s="6"/>
      <c r="AI64" s="6"/>
    </row>
    <row r="65" spans="2:35" ht="36" customHeight="1" x14ac:dyDescent="0.25">
      <c r="B65" s="47" t="s">
        <v>241</v>
      </c>
      <c r="C65" s="46">
        <v>103334</v>
      </c>
      <c r="D65" s="60" t="str">
        <f>'[1]MEMORIAL DE CÁLCULO'!D55</f>
        <v>ALVENARIA DE VEDAÇÃO DE BLOCOS CERÂMICOS FURADOS NA HORIZONTAL DE 14X9X19CM (ESPESSURA 14CM, BLOCO DEITADO)</v>
      </c>
      <c r="E65" s="59">
        <f>'[1]MEMORIAL DE CÁLCULO'!E55</f>
        <v>394.22</v>
      </c>
      <c r="F65" s="59" t="s">
        <v>10</v>
      </c>
      <c r="G65" s="54">
        <v>70.25</v>
      </c>
      <c r="H65" s="52">
        <v>59.36</v>
      </c>
      <c r="I65" s="53">
        <f>G65+H65</f>
        <v>129.61000000000001</v>
      </c>
      <c r="J65" s="52">
        <f>ROUND(I65*E65,2)</f>
        <v>51094.85</v>
      </c>
      <c r="K65" s="39">
        <v>0.2387</v>
      </c>
      <c r="L65" s="38">
        <f>ROUND((1+K65)*E65*G65,2)</f>
        <v>34304.5</v>
      </c>
      <c r="M65" s="38">
        <f>ROUND((1+K65)*E65*H65,2)</f>
        <v>28986.69</v>
      </c>
      <c r="N65" s="38">
        <f>ROUND(L65+M65,2)</f>
        <v>63291.19</v>
      </c>
      <c r="O65" s="34"/>
      <c r="P65" s="34"/>
      <c r="Q65" s="36"/>
      <c r="R65" s="6"/>
      <c r="S65" s="6"/>
      <c r="T65" s="6"/>
      <c r="U65" s="6"/>
      <c r="V65" s="6"/>
      <c r="W65" s="6"/>
      <c r="X65" s="6"/>
      <c r="Y65" s="6"/>
      <c r="Z65" s="6"/>
      <c r="AA65" s="6"/>
      <c r="AB65" s="6"/>
      <c r="AC65" s="6"/>
      <c r="AD65" s="6"/>
      <c r="AE65" s="6"/>
      <c r="AF65" s="6"/>
      <c r="AG65" s="6"/>
      <c r="AH65" s="6"/>
      <c r="AI65" s="6"/>
    </row>
    <row r="66" spans="2:35" ht="20.25" customHeight="1" x14ac:dyDescent="0.25">
      <c r="B66" s="47" t="s">
        <v>240</v>
      </c>
      <c r="C66" s="46">
        <f>'[1]MEMORIAL DE CÁLCULO'!C56</f>
        <v>93187</v>
      </c>
      <c r="D66" s="60" t="str">
        <f>'[1]MEMORIAL DE CÁLCULO'!D56</f>
        <v>VERGA MOLDADA IN LOCO EM CONCRETO PARA JANELAS COM MAIS DE 1,5 M DE VÃO.</v>
      </c>
      <c r="E66" s="59">
        <f>'[1]MEMORIAL DE CÁLCULO'!E56</f>
        <v>31.6</v>
      </c>
      <c r="F66" s="46" t="str">
        <f>'[1]MEMORIAL DE CÁLCULO'!F56</f>
        <v>m</v>
      </c>
      <c r="G66" s="54">
        <f>60.37+0.04+0.05</f>
        <v>60.459999999999994</v>
      </c>
      <c r="H66" s="52">
        <v>19.62</v>
      </c>
      <c r="I66" s="53">
        <f>G66+H66</f>
        <v>80.08</v>
      </c>
      <c r="J66" s="52">
        <f>ROUND(I66*E66,2)</f>
        <v>2530.5300000000002</v>
      </c>
      <c r="K66" s="39">
        <v>0.2387</v>
      </c>
      <c r="L66" s="38">
        <f>ROUND((1+K66)*E66*G66,2)</f>
        <v>2366.58</v>
      </c>
      <c r="M66" s="38">
        <f>ROUND((1+K66)*E66*H66,2)</f>
        <v>767.98</v>
      </c>
      <c r="N66" s="38">
        <f>ROUND(L66+M66,2)</f>
        <v>3134.56</v>
      </c>
      <c r="O66" s="34"/>
      <c r="P66" s="34"/>
      <c r="Q66" s="36"/>
      <c r="R66" s="6"/>
      <c r="S66" s="6"/>
      <c r="T66" s="6"/>
      <c r="U66" s="6"/>
      <c r="V66" s="6"/>
      <c r="W66" s="6"/>
      <c r="X66" s="6"/>
      <c r="Y66" s="6"/>
      <c r="Z66" s="6"/>
      <c r="AA66" s="6"/>
      <c r="AB66" s="6"/>
      <c r="AC66" s="6"/>
      <c r="AD66" s="6"/>
      <c r="AE66" s="6"/>
      <c r="AF66" s="6"/>
      <c r="AG66" s="6"/>
      <c r="AH66" s="6"/>
      <c r="AI66" s="6"/>
    </row>
    <row r="67" spans="2:35" ht="28.5" customHeight="1" x14ac:dyDescent="0.25">
      <c r="B67" s="47" t="s">
        <v>239</v>
      </c>
      <c r="C67" s="46">
        <f>'[1]MEMORIAL DE CÁLCULO'!C57</f>
        <v>93197</v>
      </c>
      <c r="D67" s="60" t="str">
        <f>'[1]MEMORIAL DE CÁLCULO'!D57</f>
        <v xml:space="preserve">CONTRAVERGA MOLDADA IN LOCO EM CONCRETO PARA VÃOS DE MAIS DE 1,5 M DE COMPRIMENTO. </v>
      </c>
      <c r="E67" s="59">
        <f>'[1]MEMORIAL DE CÁLCULO'!E57</f>
        <v>31.6</v>
      </c>
      <c r="F67" s="46" t="str">
        <f>'[1]MEMORIAL DE CÁLCULO'!F57</f>
        <v>m</v>
      </c>
      <c r="G67" s="54">
        <f>55</f>
        <v>55</v>
      </c>
      <c r="H67" s="52">
        <v>19.670000000000002</v>
      </c>
      <c r="I67" s="53">
        <f>G67+H67</f>
        <v>74.67</v>
      </c>
      <c r="J67" s="52">
        <f>ROUND(I67*E67,2)</f>
        <v>2359.5700000000002</v>
      </c>
      <c r="K67" s="39">
        <v>0.2387</v>
      </c>
      <c r="L67" s="38">
        <f>ROUND((1+K67)*E67*G67,2)</f>
        <v>2152.86</v>
      </c>
      <c r="M67" s="38">
        <f>ROUND((1+K67)*E67*H67,2)</f>
        <v>769.94</v>
      </c>
      <c r="N67" s="38">
        <f>ROUND(L67+M67,2)</f>
        <v>2922.8</v>
      </c>
      <c r="O67" s="34"/>
      <c r="P67" s="34"/>
      <c r="Q67" s="36"/>
      <c r="R67" s="6"/>
      <c r="S67" s="6"/>
      <c r="T67" s="6"/>
      <c r="U67" s="6"/>
      <c r="V67" s="6"/>
      <c r="W67" s="6"/>
      <c r="X67" s="6"/>
      <c r="Y67" s="6"/>
      <c r="Z67" s="6"/>
      <c r="AA67" s="6"/>
      <c r="AB67" s="6"/>
      <c r="AC67" s="6"/>
      <c r="AD67" s="6"/>
      <c r="AE67" s="6"/>
      <c r="AF67" s="6"/>
      <c r="AG67" s="6"/>
      <c r="AH67" s="6"/>
      <c r="AI67" s="6"/>
    </row>
    <row r="68" spans="2:35" ht="20.25" customHeight="1" x14ac:dyDescent="0.25">
      <c r="B68" s="47" t="s">
        <v>238</v>
      </c>
      <c r="C68" s="46">
        <f>'[1]MEMORIAL DE CÁLCULO'!C58</f>
        <v>93188</v>
      </c>
      <c r="D68" s="60" t="str">
        <f>'[1]MEMORIAL DE CÁLCULO'!D58</f>
        <v>VERGA MOLDADA IN LOCO EM CONCRETO PARA PORTAS COM ATÉ 1,5 M DE VÃO.</v>
      </c>
      <c r="E68" s="59">
        <f>'[1]MEMORIAL DE CÁLCULO'!E58</f>
        <v>30</v>
      </c>
      <c r="F68" s="46" t="str">
        <f>'[1]MEMORIAL DE CÁLCULO'!F58</f>
        <v>m</v>
      </c>
      <c r="G68" s="54">
        <v>46.96</v>
      </c>
      <c r="H68" s="52">
        <v>17.46</v>
      </c>
      <c r="I68" s="53">
        <f>G68+H68</f>
        <v>64.42</v>
      </c>
      <c r="J68" s="52">
        <f>ROUND(I68*E68,2)</f>
        <v>1932.6</v>
      </c>
      <c r="K68" s="39">
        <v>0.2387</v>
      </c>
      <c r="L68" s="38">
        <f>ROUND((1+K68)*E68*G68,2)</f>
        <v>1745.08</v>
      </c>
      <c r="M68" s="38">
        <f>ROUND((1+K68)*E68*H68,2)</f>
        <v>648.83000000000004</v>
      </c>
      <c r="N68" s="38">
        <f>ROUND(L68+M68,2)</f>
        <v>2393.91</v>
      </c>
      <c r="O68" s="34"/>
      <c r="P68" s="34"/>
      <c r="Q68" s="36"/>
      <c r="R68" s="6"/>
      <c r="S68" s="6"/>
      <c r="T68" s="6"/>
      <c r="U68" s="6"/>
      <c r="V68" s="6"/>
      <c r="W68" s="6"/>
      <c r="X68" s="6"/>
      <c r="Y68" s="6"/>
      <c r="Z68" s="6"/>
      <c r="AA68" s="6"/>
      <c r="AB68" s="6"/>
      <c r="AC68" s="6"/>
      <c r="AD68" s="6"/>
      <c r="AE68" s="6"/>
      <c r="AF68" s="6"/>
      <c r="AG68" s="6"/>
      <c r="AH68" s="6"/>
      <c r="AI68" s="6"/>
    </row>
    <row r="69" spans="2:35" ht="35.25" customHeight="1" x14ac:dyDescent="0.25">
      <c r="B69" s="47" t="s">
        <v>237</v>
      </c>
      <c r="C69" s="46">
        <f>'[1]MEMORIAL DE CÁLCULO'!C59</f>
        <v>101162</v>
      </c>
      <c r="D69" s="60" t="str">
        <f>'[1]MEMORIAL DE CÁLCULO'!D59</f>
        <v>ALVENARIA DE VEDAÇÃO COM ELEMENTO VAZADO DE CERÂMICA (COBOGÓ) DE 7X20X20CM E ARGAMASSA DE ASSENTAMENTO COM PREPARO EM BETONEIRA.</v>
      </c>
      <c r="E69" s="59">
        <f>'[1]MEMORIAL DE CÁLCULO'!E59</f>
        <v>107</v>
      </c>
      <c r="F69" s="59" t="s">
        <v>10</v>
      </c>
      <c r="G69" s="54">
        <f>86.04+0.02+0.07</f>
        <v>86.13</v>
      </c>
      <c r="H69" s="52">
        <v>56.63</v>
      </c>
      <c r="I69" s="53">
        <f>G69+H69</f>
        <v>142.76</v>
      </c>
      <c r="J69" s="52">
        <f>ROUND(I69*E69,2)</f>
        <v>15275.32</v>
      </c>
      <c r="K69" s="39">
        <v>0.2387</v>
      </c>
      <c r="L69" s="38">
        <f>ROUND((1+K69)*E69*G69,2)</f>
        <v>11415.75</v>
      </c>
      <c r="M69" s="38">
        <f>ROUND((1+K69)*E69*H69,2)</f>
        <v>7505.79</v>
      </c>
      <c r="N69" s="38">
        <f>ROUND(L69+M69,2)</f>
        <v>18921.54</v>
      </c>
      <c r="O69" s="34"/>
      <c r="P69" s="34"/>
      <c r="Q69" s="36"/>
      <c r="R69" s="6"/>
      <c r="S69" s="6"/>
      <c r="T69" s="6"/>
      <c r="U69" s="6"/>
      <c r="V69" s="6"/>
      <c r="W69" s="6"/>
      <c r="X69" s="6"/>
      <c r="Y69" s="6"/>
      <c r="Z69" s="6"/>
      <c r="AA69" s="6"/>
      <c r="AB69" s="6"/>
      <c r="AC69" s="6"/>
      <c r="AD69" s="6"/>
      <c r="AE69" s="6"/>
      <c r="AF69" s="6"/>
      <c r="AG69" s="6"/>
      <c r="AH69" s="6"/>
      <c r="AI69" s="6"/>
    </row>
    <row r="70" spans="2:35" ht="20.25" customHeight="1" x14ac:dyDescent="0.25">
      <c r="B70" s="107" t="s">
        <v>236</v>
      </c>
      <c r="C70" s="108"/>
      <c r="D70" s="108"/>
      <c r="E70" s="108"/>
      <c r="F70" s="108"/>
      <c r="G70" s="108"/>
      <c r="H70" s="108"/>
      <c r="I70" s="108"/>
      <c r="J70" s="108"/>
      <c r="K70" s="108"/>
      <c r="L70" s="37">
        <f>SUM(L65:L69)</f>
        <v>51984.770000000004</v>
      </c>
      <c r="M70" s="37">
        <f>SUM(M65:M69)</f>
        <v>38679.229999999996</v>
      </c>
      <c r="N70" s="37">
        <f>SUM(N65:N69)</f>
        <v>90664</v>
      </c>
      <c r="O70" s="34"/>
      <c r="P70" s="34"/>
      <c r="Q70" s="36"/>
      <c r="R70" s="6"/>
      <c r="S70" s="6"/>
      <c r="T70" s="6"/>
      <c r="U70" s="6"/>
      <c r="V70" s="6"/>
      <c r="W70" s="6"/>
      <c r="X70" s="6"/>
      <c r="Y70" s="6"/>
      <c r="Z70" s="6"/>
      <c r="AA70" s="6"/>
      <c r="AB70" s="6"/>
      <c r="AC70" s="6"/>
      <c r="AD70" s="6"/>
      <c r="AE70" s="6"/>
      <c r="AF70" s="6"/>
      <c r="AG70" s="6"/>
      <c r="AH70" s="6"/>
      <c r="AI70" s="6"/>
    </row>
    <row r="71" spans="2:35" ht="20.25" customHeight="1" x14ac:dyDescent="0.25">
      <c r="B71" s="51">
        <v>7</v>
      </c>
      <c r="C71" s="109" t="s">
        <v>235</v>
      </c>
      <c r="D71" s="109"/>
      <c r="E71" s="109"/>
      <c r="F71" s="109"/>
      <c r="G71" s="109"/>
      <c r="H71" s="109"/>
      <c r="I71" s="109"/>
      <c r="J71" s="109"/>
      <c r="K71" s="109"/>
      <c r="L71" s="109"/>
      <c r="M71" s="109"/>
      <c r="N71" s="110"/>
      <c r="O71" s="34"/>
      <c r="P71" s="34"/>
      <c r="Q71" s="36"/>
      <c r="R71" s="6"/>
      <c r="S71" s="6"/>
      <c r="T71" s="6"/>
      <c r="U71" s="6"/>
      <c r="V71" s="6"/>
      <c r="W71" s="6"/>
      <c r="X71" s="6"/>
      <c r="Y71" s="6"/>
      <c r="Z71" s="6"/>
      <c r="AA71" s="6"/>
      <c r="AB71" s="6"/>
      <c r="AC71" s="6"/>
      <c r="AD71" s="6"/>
      <c r="AE71" s="6"/>
      <c r="AF71" s="6"/>
      <c r="AG71" s="6"/>
      <c r="AH71" s="6"/>
      <c r="AI71" s="6"/>
    </row>
    <row r="72" spans="2:35" ht="47.25" customHeight="1" x14ac:dyDescent="0.25">
      <c r="B72" s="47" t="s">
        <v>234</v>
      </c>
      <c r="C72" s="46">
        <f>'[1]MEMORIAL DE CÁLCULO'!C61</f>
        <v>94573</v>
      </c>
      <c r="D72" s="60" t="str">
        <f>'[1]MEMORIAL DE CÁLCULO'!D61</f>
        <v xml:space="preserve">JANELA DE ALUMÍNIO DE CORRER COM 4 FOLHAS PARA VIDROS, COM VIDROS, BATENTE, ACABAMENTO COM ACETATO OU BRILHANTE E FERRAGENS. EXCLUSIVE ALIZAR E CONTRAMARCO. FORNECIMENTO E INSTALAÇÃO. </v>
      </c>
      <c r="E72" s="59">
        <f>'[1]MEMORIAL DE CÁLCULO'!E61</f>
        <v>15</v>
      </c>
      <c r="F72" s="46" t="str">
        <f>'[1]MEMORIAL DE CÁLCULO'!F61</f>
        <v>m2</v>
      </c>
      <c r="G72" s="54">
        <v>400.18</v>
      </c>
      <c r="H72" s="52">
        <v>23.9</v>
      </c>
      <c r="I72" s="53">
        <f t="shared" ref="I72:I79" si="20">G72+H72</f>
        <v>424.08</v>
      </c>
      <c r="J72" s="52">
        <f t="shared" ref="J72:J79" si="21">ROUND(I72*E72,2)</f>
        <v>6361.2</v>
      </c>
      <c r="K72" s="39">
        <v>0.2387</v>
      </c>
      <c r="L72" s="38">
        <f t="shared" ref="L72:L79" si="22">ROUND((1+K72)*E72*G72,2)</f>
        <v>7435.54</v>
      </c>
      <c r="M72" s="38">
        <f t="shared" ref="M72:M79" si="23">ROUND((1+K72)*E72*H72,2)</f>
        <v>444.07</v>
      </c>
      <c r="N72" s="38">
        <f t="shared" ref="N72:N79" si="24">ROUND(L72+M72,2)</f>
        <v>7879.61</v>
      </c>
      <c r="O72" s="34"/>
      <c r="P72" s="34"/>
      <c r="Q72" s="36"/>
      <c r="R72" s="6"/>
      <c r="S72" s="6"/>
      <c r="T72" s="6"/>
      <c r="U72" s="6"/>
      <c r="V72" s="6"/>
      <c r="W72" s="6"/>
      <c r="X72" s="6"/>
      <c r="Y72" s="6"/>
      <c r="Z72" s="6"/>
      <c r="AA72" s="6"/>
      <c r="AB72" s="6"/>
      <c r="AC72" s="6"/>
      <c r="AD72" s="6"/>
      <c r="AE72" s="6"/>
      <c r="AF72" s="6"/>
      <c r="AG72" s="6"/>
      <c r="AH72" s="6"/>
      <c r="AI72" s="6"/>
    </row>
    <row r="73" spans="2:35" ht="35.25" customHeight="1" x14ac:dyDescent="0.25">
      <c r="B73" s="47" t="s">
        <v>233</v>
      </c>
      <c r="C73" s="46">
        <f>'[1]MEMORIAL DE CÁLCULO'!C62</f>
        <v>94569</v>
      </c>
      <c r="D73" s="60" t="str">
        <f>'[1]MEMORIAL DE CÁLCULO'!D62</f>
        <v>JANELA DE ALUMÍNIO TIPO MAXIM-AR, COM VIDROS, BATENTE E FERRAGENS. EXCLUSIVE ALIZAR, ACABAMENTO E CONTRAMARCO. FORNECIMENTO E INSTALAÇÃO.</v>
      </c>
      <c r="E73" s="59">
        <f>'[1]MEMORIAL DE CÁLCULO'!E62</f>
        <v>3.5999999999999996</v>
      </c>
      <c r="F73" s="46" t="str">
        <f>'[1]MEMORIAL DE CÁLCULO'!F62</f>
        <v>m2</v>
      </c>
      <c r="G73" s="54">
        <v>662.6</v>
      </c>
      <c r="H73" s="52">
        <v>42.51</v>
      </c>
      <c r="I73" s="53">
        <f t="shared" si="20"/>
        <v>705.11</v>
      </c>
      <c r="J73" s="52">
        <f t="shared" si="21"/>
        <v>2538.4</v>
      </c>
      <c r="K73" s="39">
        <v>0.2387</v>
      </c>
      <c r="L73" s="38">
        <f t="shared" si="22"/>
        <v>2954.75</v>
      </c>
      <c r="M73" s="38">
        <f t="shared" si="23"/>
        <v>189.57</v>
      </c>
      <c r="N73" s="38">
        <f t="shared" si="24"/>
        <v>3144.32</v>
      </c>
      <c r="O73" s="34"/>
      <c r="P73" s="34"/>
      <c r="Q73" s="36"/>
      <c r="R73" s="6"/>
      <c r="S73" s="6"/>
      <c r="T73" s="6"/>
      <c r="U73" s="6"/>
      <c r="V73" s="6"/>
      <c r="W73" s="6"/>
      <c r="X73" s="6"/>
      <c r="Y73" s="6"/>
      <c r="Z73" s="6"/>
      <c r="AA73" s="6"/>
      <c r="AB73" s="6"/>
      <c r="AC73" s="6"/>
      <c r="AD73" s="6"/>
      <c r="AE73" s="6"/>
      <c r="AF73" s="6"/>
      <c r="AG73" s="6"/>
      <c r="AH73" s="6"/>
      <c r="AI73" s="6"/>
    </row>
    <row r="74" spans="2:35" ht="47.25" customHeight="1" x14ac:dyDescent="0.25">
      <c r="B74" s="47" t="s">
        <v>232</v>
      </c>
      <c r="C74" s="46">
        <f>'[1]MEMORIAL DE CÁLCULO'!C63</f>
        <v>91338</v>
      </c>
      <c r="D74" s="60" t="str">
        <f>'[1]MEMORIAL DE CÁLCULO'!D63</f>
        <v>PORTA DE ALUMÍNIO DE ABRIR COM LAMBRI PORTAS EXTERNAS, ACABAMENTO COM PINTURA ELETROESTÁTICA BRANCA, COM GUARNIÇÃO, FIXAÇÃO COM PARAFUSOS - FORNECIMENTO E INSTALAÇÃO.</v>
      </c>
      <c r="E74" s="59">
        <f>'[1]MEMORIAL DE CÁLCULO'!E63</f>
        <v>9.4499999999999993</v>
      </c>
      <c r="F74" s="46" t="str">
        <f>'[1]MEMORIAL DE CÁLCULO'!F63</f>
        <v>m2</v>
      </c>
      <c r="G74" s="54">
        <v>945.56</v>
      </c>
      <c r="H74" s="52">
        <v>8.86</v>
      </c>
      <c r="I74" s="53">
        <f t="shared" si="20"/>
        <v>954.42</v>
      </c>
      <c r="J74" s="52">
        <f t="shared" si="21"/>
        <v>9019.27</v>
      </c>
      <c r="K74" s="39">
        <v>0.2387</v>
      </c>
      <c r="L74" s="38">
        <f t="shared" si="22"/>
        <v>11068.46</v>
      </c>
      <c r="M74" s="38">
        <f t="shared" si="23"/>
        <v>103.71</v>
      </c>
      <c r="N74" s="38">
        <f t="shared" si="24"/>
        <v>11172.17</v>
      </c>
      <c r="O74" s="34"/>
      <c r="P74" s="34"/>
      <c r="Q74" s="36"/>
      <c r="R74" s="6"/>
      <c r="S74" s="6"/>
      <c r="T74" s="6"/>
      <c r="U74" s="6"/>
      <c r="V74" s="6"/>
      <c r="W74" s="6"/>
      <c r="X74" s="6"/>
      <c r="Y74" s="6"/>
      <c r="Z74" s="6"/>
      <c r="AA74" s="6"/>
      <c r="AB74" s="6"/>
      <c r="AC74" s="6"/>
      <c r="AD74" s="6"/>
      <c r="AE74" s="6"/>
      <c r="AF74" s="6"/>
      <c r="AG74" s="6"/>
      <c r="AH74" s="6"/>
      <c r="AI74" s="6"/>
    </row>
    <row r="75" spans="2:35" ht="32.25" customHeight="1" x14ac:dyDescent="0.25">
      <c r="B75" s="47" t="s">
        <v>231</v>
      </c>
      <c r="C75" s="46">
        <v>91341</v>
      </c>
      <c r="D75" s="60" t="s">
        <v>230</v>
      </c>
      <c r="E75" s="59">
        <f>'[1]MEMORIAL DE CÁLCULO'!E64</f>
        <v>7.56</v>
      </c>
      <c r="F75" s="46" t="s">
        <v>10</v>
      </c>
      <c r="G75" s="54">
        <v>728.38</v>
      </c>
      <c r="H75" s="52">
        <v>9.51</v>
      </c>
      <c r="I75" s="53">
        <f t="shared" si="20"/>
        <v>737.89</v>
      </c>
      <c r="J75" s="52">
        <f t="shared" si="21"/>
        <v>5578.45</v>
      </c>
      <c r="K75" s="39">
        <v>0.2387</v>
      </c>
      <c r="L75" s="38">
        <f t="shared" si="22"/>
        <v>6820.97</v>
      </c>
      <c r="M75" s="38">
        <f t="shared" si="23"/>
        <v>89.06</v>
      </c>
      <c r="N75" s="38">
        <f t="shared" si="24"/>
        <v>6910.03</v>
      </c>
      <c r="O75" s="34"/>
      <c r="P75" s="34"/>
      <c r="Q75" s="36"/>
      <c r="R75" s="6"/>
      <c r="S75" s="6"/>
      <c r="T75" s="6"/>
      <c r="U75" s="6"/>
      <c r="V75" s="6"/>
      <c r="W75" s="6"/>
      <c r="X75" s="6"/>
      <c r="Y75" s="6"/>
      <c r="Z75" s="6"/>
      <c r="AA75" s="6"/>
      <c r="AB75" s="6"/>
      <c r="AC75" s="6"/>
      <c r="AD75" s="6"/>
      <c r="AE75" s="6"/>
      <c r="AF75" s="6"/>
      <c r="AG75" s="6"/>
      <c r="AH75" s="6"/>
      <c r="AI75" s="6"/>
    </row>
    <row r="76" spans="2:35" s="6" customFormat="1" ht="36" customHeight="1" x14ac:dyDescent="0.25">
      <c r="B76" s="47" t="s">
        <v>229</v>
      </c>
      <c r="C76" s="46" t="s">
        <v>228</v>
      </c>
      <c r="D76" s="92" t="s">
        <v>227</v>
      </c>
      <c r="E76" s="59">
        <f>'[1]MEMORIAL DE CÁLCULO'!E65</f>
        <v>54.3</v>
      </c>
      <c r="F76" s="46" t="s">
        <v>22</v>
      </c>
      <c r="G76" s="42">
        <v>39.32</v>
      </c>
      <c r="H76" s="42">
        <v>4.49</v>
      </c>
      <c r="I76" s="41">
        <f t="shared" si="20"/>
        <v>43.81</v>
      </c>
      <c r="J76" s="40">
        <f t="shared" si="21"/>
        <v>2378.88</v>
      </c>
      <c r="K76" s="39">
        <v>0.2387</v>
      </c>
      <c r="L76" s="38">
        <f t="shared" si="22"/>
        <v>2644.72</v>
      </c>
      <c r="M76" s="38">
        <f t="shared" si="23"/>
        <v>302</v>
      </c>
      <c r="N76" s="38">
        <f t="shared" si="24"/>
        <v>2946.72</v>
      </c>
      <c r="O76" s="34"/>
      <c r="P76" s="34"/>
      <c r="Q76" s="36"/>
    </row>
    <row r="77" spans="2:35" ht="47.25" customHeight="1" x14ac:dyDescent="0.25">
      <c r="B77" s="47" t="s">
        <v>226</v>
      </c>
      <c r="C77" s="46">
        <v>91304</v>
      </c>
      <c r="D77" s="60" t="str">
        <f>'[1]MEMORIAL DE CÁLCULO'!D66</f>
        <v>FECHADURA ESPELHO PARA PORTA EXTERNA, EM ACO INOX (MAQUINA, TESTA E CONTRA-TESTA) E EM ZAMAC (MACANETA, LINGUETA E TRINCOS) COM ACABAMENTO CROMADO, MAQUINA DE 40 MM, INCLUINDO CHAVE TIPO CILINDRO</v>
      </c>
      <c r="E77" s="59">
        <f>'[1]MEMORIAL DE CÁLCULO'!E66</f>
        <v>11</v>
      </c>
      <c r="F77" s="46" t="str">
        <f>'[1]MEMORIAL DE CÁLCULO'!F66</f>
        <v>UN</v>
      </c>
      <c r="G77" s="54">
        <v>77.790000000000006</v>
      </c>
      <c r="H77" s="52">
        <v>23.8</v>
      </c>
      <c r="I77" s="53">
        <f t="shared" si="20"/>
        <v>101.59</v>
      </c>
      <c r="J77" s="52">
        <f t="shared" si="21"/>
        <v>1117.49</v>
      </c>
      <c r="K77" s="39">
        <v>0.2387</v>
      </c>
      <c r="L77" s="38">
        <f t="shared" si="22"/>
        <v>1059.94</v>
      </c>
      <c r="M77" s="38">
        <f t="shared" si="23"/>
        <v>324.29000000000002</v>
      </c>
      <c r="N77" s="38">
        <f t="shared" si="24"/>
        <v>1384.23</v>
      </c>
      <c r="O77" s="34"/>
      <c r="P77" s="34"/>
      <c r="Q77" s="36"/>
      <c r="R77" s="6"/>
      <c r="S77" s="6"/>
      <c r="T77" s="6"/>
      <c r="U77" s="6"/>
      <c r="V77" s="6"/>
      <c r="W77" s="6"/>
      <c r="X77" s="6"/>
      <c r="Y77" s="6"/>
      <c r="Z77" s="6"/>
      <c r="AA77" s="6"/>
      <c r="AB77" s="6"/>
      <c r="AC77" s="6"/>
      <c r="AD77" s="6"/>
      <c r="AE77" s="6"/>
      <c r="AF77" s="6"/>
      <c r="AG77" s="6"/>
      <c r="AH77" s="6"/>
      <c r="AI77" s="6"/>
    </row>
    <row r="78" spans="2:35" ht="39.75" customHeight="1" x14ac:dyDescent="0.25">
      <c r="B78" s="47" t="s">
        <v>225</v>
      </c>
      <c r="C78" s="71">
        <v>37561</v>
      </c>
      <c r="D78" s="68" t="s">
        <v>224</v>
      </c>
      <c r="E78" s="77">
        <f>2.5*2.1+(3*2.1)</f>
        <v>11.55</v>
      </c>
      <c r="F78" s="88" t="s">
        <v>10</v>
      </c>
      <c r="G78" s="54">
        <f>468.65*0.8</f>
        <v>374.92</v>
      </c>
      <c r="H78" s="52">
        <f>468.65*0.2</f>
        <v>93.73</v>
      </c>
      <c r="I78" s="53">
        <f t="shared" si="20"/>
        <v>468.65000000000003</v>
      </c>
      <c r="J78" s="52">
        <f t="shared" si="21"/>
        <v>5412.91</v>
      </c>
      <c r="K78" s="39">
        <v>0.2387</v>
      </c>
      <c r="L78" s="38">
        <f t="shared" si="22"/>
        <v>5363.97</v>
      </c>
      <c r="M78" s="38">
        <f t="shared" si="23"/>
        <v>1340.99</v>
      </c>
      <c r="N78" s="38">
        <f t="shared" si="24"/>
        <v>6704.96</v>
      </c>
      <c r="O78" s="34"/>
      <c r="P78" s="34"/>
      <c r="Q78" s="36"/>
      <c r="R78" s="6"/>
      <c r="S78" s="6"/>
      <c r="T78" s="6"/>
      <c r="U78" s="6"/>
      <c r="V78" s="6"/>
      <c r="W78" s="6"/>
      <c r="X78" s="6"/>
      <c r="Y78" s="6"/>
      <c r="Z78" s="6"/>
      <c r="AA78" s="6"/>
      <c r="AB78" s="6"/>
      <c r="AC78" s="6"/>
      <c r="AD78" s="6"/>
      <c r="AE78" s="6"/>
      <c r="AF78" s="6"/>
      <c r="AG78" s="6"/>
      <c r="AH78" s="6"/>
      <c r="AI78" s="6"/>
    </row>
    <row r="79" spans="2:35" ht="20.25" customHeight="1" x14ac:dyDescent="0.25">
      <c r="B79" s="47" t="s">
        <v>223</v>
      </c>
      <c r="C79" s="46">
        <v>99861</v>
      </c>
      <c r="D79" s="60" t="s">
        <v>222</v>
      </c>
      <c r="E79" s="59">
        <v>20</v>
      </c>
      <c r="F79" s="46" t="s">
        <v>10</v>
      </c>
      <c r="G79" s="54">
        <v>339.56</v>
      </c>
      <c r="H79" s="52">
        <v>256.08999999999997</v>
      </c>
      <c r="I79" s="53">
        <f t="shared" si="20"/>
        <v>595.65</v>
      </c>
      <c r="J79" s="52">
        <f t="shared" si="21"/>
        <v>11913</v>
      </c>
      <c r="K79" s="39">
        <v>0.2387</v>
      </c>
      <c r="L79" s="38">
        <f t="shared" si="22"/>
        <v>8412.26</v>
      </c>
      <c r="M79" s="38">
        <f t="shared" si="23"/>
        <v>6344.37</v>
      </c>
      <c r="N79" s="38">
        <f t="shared" si="24"/>
        <v>14756.63</v>
      </c>
      <c r="O79" s="34"/>
      <c r="P79" s="34"/>
      <c r="Q79" s="36"/>
      <c r="R79" s="6"/>
      <c r="S79" s="6"/>
      <c r="T79" s="6"/>
      <c r="U79" s="6"/>
      <c r="V79" s="6"/>
      <c r="W79" s="6"/>
      <c r="X79" s="6"/>
      <c r="Y79" s="6"/>
      <c r="Z79" s="6"/>
      <c r="AA79" s="6"/>
      <c r="AB79" s="6"/>
      <c r="AC79" s="6"/>
      <c r="AD79" s="6"/>
      <c r="AE79" s="6"/>
      <c r="AF79" s="6"/>
      <c r="AG79" s="6"/>
      <c r="AH79" s="6"/>
      <c r="AI79" s="6"/>
    </row>
    <row r="80" spans="2:35" ht="20.25" customHeight="1" x14ac:dyDescent="0.25">
      <c r="B80" s="107" t="s">
        <v>221</v>
      </c>
      <c r="C80" s="108"/>
      <c r="D80" s="108"/>
      <c r="E80" s="108"/>
      <c r="F80" s="108"/>
      <c r="G80" s="108"/>
      <c r="H80" s="108"/>
      <c r="I80" s="108"/>
      <c r="J80" s="108"/>
      <c r="K80" s="108"/>
      <c r="L80" s="37">
        <f>SUM(L72:L79)</f>
        <v>45760.61</v>
      </c>
      <c r="M80" s="37">
        <f>SUM(M72:M79)</f>
        <v>9138.06</v>
      </c>
      <c r="N80" s="37">
        <f>SUM(N72:N79)</f>
        <v>54898.67</v>
      </c>
      <c r="O80" s="34"/>
      <c r="P80" s="34"/>
      <c r="Q80" s="36"/>
      <c r="R80" s="6"/>
      <c r="S80" s="6"/>
      <c r="T80" s="6"/>
      <c r="U80" s="6"/>
      <c r="V80" s="6"/>
      <c r="W80" s="6"/>
      <c r="X80" s="6"/>
      <c r="Y80" s="6"/>
      <c r="Z80" s="6"/>
      <c r="AA80" s="6"/>
      <c r="AB80" s="6"/>
      <c r="AC80" s="6"/>
      <c r="AD80" s="6"/>
      <c r="AE80" s="6"/>
      <c r="AF80" s="6"/>
      <c r="AG80" s="6"/>
      <c r="AH80" s="6"/>
      <c r="AI80" s="6"/>
    </row>
    <row r="81" spans="2:35" ht="20.25" customHeight="1" x14ac:dyDescent="0.25">
      <c r="B81" s="51">
        <v>8</v>
      </c>
      <c r="C81" s="109" t="s">
        <v>220</v>
      </c>
      <c r="D81" s="109"/>
      <c r="E81" s="109"/>
      <c r="F81" s="109"/>
      <c r="G81" s="109"/>
      <c r="H81" s="109"/>
      <c r="I81" s="109"/>
      <c r="J81" s="109"/>
      <c r="K81" s="109"/>
      <c r="L81" s="109"/>
      <c r="M81" s="109"/>
      <c r="N81" s="110"/>
      <c r="O81" s="34"/>
      <c r="P81" s="34"/>
      <c r="Q81" s="36"/>
      <c r="R81" s="6"/>
      <c r="S81" s="6"/>
      <c r="T81" s="6"/>
      <c r="U81" s="6"/>
      <c r="V81" s="6"/>
      <c r="W81" s="6"/>
      <c r="X81" s="6"/>
      <c r="Y81" s="6"/>
      <c r="Z81" s="6"/>
      <c r="AA81" s="6"/>
      <c r="AB81" s="6"/>
      <c r="AC81" s="6"/>
      <c r="AD81" s="6"/>
      <c r="AE81" s="6"/>
      <c r="AF81" s="6"/>
      <c r="AG81" s="6"/>
      <c r="AH81" s="6"/>
      <c r="AI81" s="6"/>
    </row>
    <row r="82" spans="2:35" ht="33" customHeight="1" x14ac:dyDescent="0.25">
      <c r="B82" s="47" t="s">
        <v>219</v>
      </c>
      <c r="C82" s="57">
        <v>92581</v>
      </c>
      <c r="D82" s="56" t="s">
        <v>218</v>
      </c>
      <c r="E82" s="59">
        <f>'[1]MEMORIAL DE CÁLCULO'!E69</f>
        <v>471</v>
      </c>
      <c r="F82" s="46" t="s">
        <v>10</v>
      </c>
      <c r="G82" s="54">
        <v>60.91</v>
      </c>
      <c r="H82" s="52">
        <v>5.18</v>
      </c>
      <c r="I82" s="53">
        <f>G82+H82</f>
        <v>66.09</v>
      </c>
      <c r="J82" s="52">
        <f>ROUND(I82*E82,2)</f>
        <v>31128.39</v>
      </c>
      <c r="K82" s="39">
        <v>0.2387</v>
      </c>
      <c r="L82" s="38">
        <f>ROUND((1+K82)*E82*G82,2)</f>
        <v>35536.58</v>
      </c>
      <c r="M82" s="38">
        <f>ROUND((1+K82)*E82*H82,2)</f>
        <v>3022.16</v>
      </c>
      <c r="N82" s="38">
        <f>ROUND(L82+M82,2)</f>
        <v>38558.74</v>
      </c>
      <c r="O82" s="34"/>
      <c r="P82" s="34"/>
      <c r="Q82" s="36"/>
      <c r="R82" s="6"/>
      <c r="S82" s="6"/>
      <c r="T82" s="6"/>
      <c r="U82" s="6"/>
      <c r="V82" s="6"/>
      <c r="W82" s="6"/>
      <c r="X82" s="6"/>
      <c r="Y82" s="6"/>
      <c r="Z82" s="6"/>
      <c r="AA82" s="6"/>
      <c r="AB82" s="6"/>
      <c r="AC82" s="6"/>
      <c r="AD82" s="6"/>
      <c r="AE82" s="6"/>
      <c r="AF82" s="6"/>
      <c r="AG82" s="6"/>
      <c r="AH82" s="6"/>
      <c r="AI82" s="6"/>
    </row>
    <row r="83" spans="2:35" ht="33" customHeight="1" x14ac:dyDescent="0.25">
      <c r="B83" s="47" t="s">
        <v>217</v>
      </c>
      <c r="C83" s="57">
        <v>94213</v>
      </c>
      <c r="D83" s="56" t="s">
        <v>216</v>
      </c>
      <c r="E83" s="59">
        <f>'[1]MEMORIAL DE CÁLCULO'!E70</f>
        <v>271</v>
      </c>
      <c r="F83" s="46" t="s">
        <v>10</v>
      </c>
      <c r="G83" s="54">
        <v>81.400000000000006</v>
      </c>
      <c r="H83" s="52">
        <v>2.98</v>
      </c>
      <c r="I83" s="53">
        <f>G83+H83</f>
        <v>84.38000000000001</v>
      </c>
      <c r="J83" s="52">
        <f>ROUND(I83*E83,2)</f>
        <v>22866.98</v>
      </c>
      <c r="K83" s="39">
        <v>0.2387</v>
      </c>
      <c r="L83" s="38">
        <f>ROUND((1+K83)*E83*G83,2)</f>
        <v>27324.98</v>
      </c>
      <c r="M83" s="38">
        <f>ROUND((1+K83)*E83*H83,2)</f>
        <v>1000.35</v>
      </c>
      <c r="N83" s="38">
        <f>ROUND(L83+M83,2)</f>
        <v>28325.33</v>
      </c>
      <c r="O83" s="34"/>
      <c r="P83" s="34"/>
      <c r="Q83" s="36"/>
      <c r="R83" s="6"/>
      <c r="S83" s="6"/>
      <c r="T83" s="6"/>
      <c r="U83" s="6"/>
      <c r="V83" s="6"/>
      <c r="W83" s="6"/>
      <c r="X83" s="6"/>
      <c r="Y83" s="6"/>
      <c r="Z83" s="6"/>
      <c r="AA83" s="6"/>
      <c r="AB83" s="6"/>
      <c r="AC83" s="6"/>
      <c r="AD83" s="6"/>
      <c r="AE83" s="6"/>
      <c r="AF83" s="6"/>
      <c r="AG83" s="6"/>
      <c r="AH83" s="6"/>
      <c r="AI83" s="6"/>
    </row>
    <row r="84" spans="2:35" ht="33" customHeight="1" x14ac:dyDescent="0.25">
      <c r="B84" s="47" t="s">
        <v>215</v>
      </c>
      <c r="C84" s="57">
        <v>94449</v>
      </c>
      <c r="D84" s="56" t="s">
        <v>214</v>
      </c>
      <c r="E84" s="59">
        <f>'[1]MEMORIAL DE CÁLCULO'!E71</f>
        <v>200</v>
      </c>
      <c r="F84" s="46" t="s">
        <v>10</v>
      </c>
      <c r="G84" s="54">
        <v>48.39</v>
      </c>
      <c r="H84" s="52">
        <v>4.33</v>
      </c>
      <c r="I84" s="53">
        <f>G84+H84</f>
        <v>52.72</v>
      </c>
      <c r="J84" s="52">
        <f>ROUND(I84*E84,2)</f>
        <v>10544</v>
      </c>
      <c r="K84" s="39">
        <v>0.2387</v>
      </c>
      <c r="L84" s="38">
        <f>ROUND((1+K84)*E84*G84,2)</f>
        <v>11988.14</v>
      </c>
      <c r="M84" s="38">
        <f>ROUND((1+K84)*E84*H84,2)</f>
        <v>1072.71</v>
      </c>
      <c r="N84" s="38">
        <f>ROUND(L84+M84,2)</f>
        <v>13060.85</v>
      </c>
      <c r="O84" s="34"/>
      <c r="P84" s="34"/>
      <c r="Q84" s="36"/>
      <c r="R84" s="6"/>
      <c r="S84" s="6"/>
      <c r="T84" s="6"/>
      <c r="U84" s="6"/>
      <c r="V84" s="6"/>
      <c r="W84" s="6"/>
      <c r="X84" s="6"/>
      <c r="Y84" s="6"/>
      <c r="Z84" s="6"/>
      <c r="AA84" s="6"/>
      <c r="AB84" s="6"/>
      <c r="AC84" s="6"/>
      <c r="AD84" s="6"/>
      <c r="AE84" s="6"/>
      <c r="AF84" s="6"/>
      <c r="AG84" s="6"/>
      <c r="AH84" s="6"/>
      <c r="AI84" s="6"/>
    </row>
    <row r="85" spans="2:35" ht="33" customHeight="1" x14ac:dyDescent="0.25">
      <c r="B85" s="47" t="s">
        <v>213</v>
      </c>
      <c r="C85" s="57">
        <v>92255</v>
      </c>
      <c r="D85" s="56" t="s">
        <v>212</v>
      </c>
      <c r="E85" s="59">
        <f>'[1]MEMORIAL DE CÁLCULO'!E72</f>
        <v>55</v>
      </c>
      <c r="F85" s="46" t="str">
        <f>'[1]MEMORIAL DE CÁLCULO'!F72</f>
        <v>UN</v>
      </c>
      <c r="G85" s="54">
        <v>95.9</v>
      </c>
      <c r="H85" s="52">
        <v>72.650000000000006</v>
      </c>
      <c r="I85" s="53">
        <f>G85+H85</f>
        <v>168.55</v>
      </c>
      <c r="J85" s="52">
        <f>ROUND(I85*E85,2)</f>
        <v>9270.25</v>
      </c>
      <c r="K85" s="39">
        <v>0.2387</v>
      </c>
      <c r="L85" s="38">
        <f>ROUND((1+K85)*E85*G85,2)</f>
        <v>6533.52</v>
      </c>
      <c r="M85" s="38">
        <f>ROUND((1+K85)*E85*H85,2)</f>
        <v>4949.54</v>
      </c>
      <c r="N85" s="38">
        <f>ROUND(L85+M85,2)</f>
        <v>11483.06</v>
      </c>
      <c r="O85" s="34"/>
      <c r="P85" s="34"/>
      <c r="Q85" s="36"/>
      <c r="R85" s="6"/>
      <c r="S85" s="6"/>
      <c r="T85" s="6"/>
      <c r="U85" s="6"/>
      <c r="V85" s="6"/>
      <c r="W85" s="6"/>
      <c r="X85" s="6"/>
      <c r="Y85" s="6"/>
      <c r="Z85" s="6"/>
      <c r="AA85" s="6"/>
      <c r="AB85" s="6"/>
      <c r="AC85" s="6"/>
      <c r="AD85" s="6"/>
      <c r="AE85" s="6"/>
      <c r="AF85" s="6"/>
      <c r="AG85" s="6"/>
      <c r="AH85" s="6"/>
      <c r="AI85" s="6"/>
    </row>
    <row r="86" spans="2:35" ht="20.25" customHeight="1" x14ac:dyDescent="0.25">
      <c r="B86" s="107" t="s">
        <v>211</v>
      </c>
      <c r="C86" s="108"/>
      <c r="D86" s="108"/>
      <c r="E86" s="108"/>
      <c r="F86" s="108"/>
      <c r="G86" s="108"/>
      <c r="H86" s="108"/>
      <c r="I86" s="108"/>
      <c r="J86" s="108"/>
      <c r="K86" s="108"/>
      <c r="L86" s="37">
        <f>SUM(L82:L85)</f>
        <v>81383.22</v>
      </c>
      <c r="M86" s="37">
        <f>SUM(M82:M85)</f>
        <v>10044.759999999998</v>
      </c>
      <c r="N86" s="37">
        <f>SUM(N82:N85)</f>
        <v>91427.98000000001</v>
      </c>
      <c r="O86" s="34"/>
      <c r="P86" s="34"/>
      <c r="Q86" s="36"/>
      <c r="R86" s="6"/>
      <c r="S86" s="6"/>
      <c r="T86" s="6"/>
      <c r="U86" s="6"/>
      <c r="V86" s="6"/>
      <c r="W86" s="6"/>
      <c r="X86" s="6"/>
      <c r="Y86" s="6"/>
      <c r="Z86" s="6"/>
      <c r="AA86" s="6"/>
      <c r="AB86" s="6"/>
      <c r="AC86" s="6"/>
      <c r="AD86" s="6"/>
      <c r="AE86" s="6"/>
      <c r="AF86" s="6"/>
      <c r="AG86" s="6"/>
      <c r="AH86" s="6"/>
      <c r="AI86" s="6"/>
    </row>
    <row r="87" spans="2:35" ht="20.25" customHeight="1" x14ac:dyDescent="0.25">
      <c r="B87" s="51">
        <v>9</v>
      </c>
      <c r="C87" s="49" t="s">
        <v>210</v>
      </c>
      <c r="D87" s="49"/>
      <c r="E87" s="49"/>
      <c r="F87" s="50"/>
      <c r="G87" s="50"/>
      <c r="H87" s="50"/>
      <c r="I87" s="49"/>
      <c r="J87" s="49"/>
      <c r="K87" s="49"/>
      <c r="L87" s="49"/>
      <c r="M87" s="49"/>
      <c r="N87" s="48"/>
      <c r="O87" s="34"/>
      <c r="P87" s="34"/>
      <c r="Q87" s="36"/>
      <c r="R87" s="6"/>
      <c r="S87" s="6"/>
      <c r="T87" s="6"/>
      <c r="U87" s="6"/>
      <c r="V87" s="6"/>
      <c r="W87" s="6"/>
      <c r="X87" s="6"/>
      <c r="Y87" s="6"/>
      <c r="Z87" s="6"/>
      <c r="AA87" s="6"/>
      <c r="AB87" s="6"/>
      <c r="AC87" s="6"/>
      <c r="AD87" s="6"/>
      <c r="AE87" s="6"/>
      <c r="AF87" s="6"/>
      <c r="AG87" s="6"/>
      <c r="AH87" s="6"/>
      <c r="AI87" s="6"/>
    </row>
    <row r="88" spans="2:35" ht="20.25" customHeight="1" x14ac:dyDescent="0.25">
      <c r="B88" s="47" t="s">
        <v>209</v>
      </c>
      <c r="C88" s="46">
        <f>'[1]MEMORIAL DE CÁLCULO'!C75</f>
        <v>87879</v>
      </c>
      <c r="D88" s="60" t="str">
        <f>'[1]MEMORIAL DE CÁLCULO'!D75</f>
        <v xml:space="preserve">CHAPISCO 1:3 EM PAREDES </v>
      </c>
      <c r="E88" s="59">
        <f>'[1]MEMORIAL DE CÁLCULO'!E75+10</f>
        <v>788</v>
      </c>
      <c r="F88" s="46" t="s">
        <v>10</v>
      </c>
      <c r="G88" s="54">
        <v>2.1800000000000002</v>
      </c>
      <c r="H88" s="52">
        <v>1.71</v>
      </c>
      <c r="I88" s="53">
        <f>G88+H88</f>
        <v>3.89</v>
      </c>
      <c r="J88" s="52">
        <f>ROUND(I88*E88,2)</f>
        <v>3065.32</v>
      </c>
      <c r="K88" s="39">
        <v>0.2387</v>
      </c>
      <c r="L88" s="38">
        <f>ROUND((1+K88)*E88*G88,2)</f>
        <v>2127.89</v>
      </c>
      <c r="M88" s="38">
        <f>ROUND((1+K88)*E88*H88,2)</f>
        <v>1669.12</v>
      </c>
      <c r="N88" s="38">
        <f>ROUND(L88+M88,2)</f>
        <v>3797.01</v>
      </c>
      <c r="O88" s="34"/>
      <c r="P88" s="34"/>
      <c r="Q88" s="36"/>
      <c r="R88" s="6"/>
      <c r="S88" s="6"/>
      <c r="T88" s="6"/>
      <c r="U88" s="6"/>
      <c r="V88" s="6"/>
      <c r="W88" s="6"/>
      <c r="X88" s="6"/>
      <c r="Y88" s="6"/>
      <c r="Z88" s="6"/>
      <c r="AA88" s="6"/>
      <c r="AB88" s="6"/>
      <c r="AC88" s="6"/>
      <c r="AD88" s="6"/>
      <c r="AE88" s="6"/>
      <c r="AF88" s="6"/>
      <c r="AG88" s="6"/>
      <c r="AH88" s="6"/>
      <c r="AI88" s="6"/>
    </row>
    <row r="89" spans="2:35" ht="20.25" customHeight="1" x14ac:dyDescent="0.25">
      <c r="B89" s="47" t="s">
        <v>208</v>
      </c>
      <c r="C89" s="46">
        <f>'[1]MEMORIAL DE CÁLCULO'!C76</f>
        <v>87529</v>
      </c>
      <c r="D89" s="60" t="str">
        <f>'[1]MEMORIAL DE CÁLCULO'!D76</f>
        <v>MASSA ÚNICA PARA RECEBIMENTO DE PINTURA, TRAÇO 1:2:8 COM EXECUÇÃO DE TALISCAS</v>
      </c>
      <c r="E89" s="59">
        <f>'[1]MEMORIAL DE CÁLCULO'!E76+10</f>
        <v>788</v>
      </c>
      <c r="F89" s="46" t="s">
        <v>10</v>
      </c>
      <c r="G89" s="54">
        <f>18.28</f>
        <v>18.28</v>
      </c>
      <c r="H89" s="52">
        <v>13.95</v>
      </c>
      <c r="I89" s="53">
        <f>G89+H89</f>
        <v>32.230000000000004</v>
      </c>
      <c r="J89" s="52">
        <f>ROUND(I89*E89,2)</f>
        <v>25397.24</v>
      </c>
      <c r="K89" s="39">
        <v>0.2387</v>
      </c>
      <c r="L89" s="38">
        <f>ROUND((1+K89)*E89*G89,2)</f>
        <v>17843.03</v>
      </c>
      <c r="M89" s="38">
        <f>ROUND((1+K89)*E89*H89,2)</f>
        <v>13616.53</v>
      </c>
      <c r="N89" s="38">
        <f>ROUND(L89+M89,2)</f>
        <v>31459.56</v>
      </c>
      <c r="O89" s="34"/>
      <c r="P89" s="34"/>
      <c r="Q89" s="36"/>
      <c r="R89" s="6"/>
      <c r="S89" s="6"/>
      <c r="T89" s="6"/>
      <c r="U89" s="6"/>
      <c r="V89" s="6"/>
      <c r="W89" s="6"/>
      <c r="X89" s="6"/>
      <c r="Y89" s="6"/>
      <c r="Z89" s="6"/>
      <c r="AA89" s="6"/>
      <c r="AB89" s="6"/>
      <c r="AC89" s="6"/>
      <c r="AD89" s="6"/>
      <c r="AE89" s="6"/>
      <c r="AF89" s="6"/>
      <c r="AG89" s="6"/>
      <c r="AH89" s="6"/>
      <c r="AI89" s="6"/>
    </row>
    <row r="90" spans="2:35" ht="20.25" customHeight="1" x14ac:dyDescent="0.25">
      <c r="B90" s="47" t="s">
        <v>207</v>
      </c>
      <c r="C90" s="46">
        <f>'[1]MEMORIAL DE CÁLCULO'!C77</f>
        <v>87528</v>
      </c>
      <c r="D90" s="60" t="str">
        <f>'[1]MEMORIAL DE CÁLCULO'!D77</f>
        <v>EMBOÇO, PARA RECEBIMENTO DE CERÂMICA, EM ARGAMASSA TRAÇO 1:2:8,</v>
      </c>
      <c r="E90" s="59">
        <f>'[1]MEMORIAL DE CÁLCULO'!E77</f>
        <v>87</v>
      </c>
      <c r="F90" s="46" t="s">
        <v>10</v>
      </c>
      <c r="G90" s="54">
        <v>19.98</v>
      </c>
      <c r="H90" s="52">
        <v>19.239999999999998</v>
      </c>
      <c r="I90" s="53">
        <f>G90+H90</f>
        <v>39.22</v>
      </c>
      <c r="J90" s="52">
        <f>ROUND(I90*E90,2)</f>
        <v>3412.14</v>
      </c>
      <c r="K90" s="39">
        <v>0.2387</v>
      </c>
      <c r="L90" s="38">
        <f>ROUND((1+K90)*E90*G90,2)</f>
        <v>2153.1799999999998</v>
      </c>
      <c r="M90" s="38">
        <f>ROUND((1+K90)*E90*H90,2)</f>
        <v>2073.44</v>
      </c>
      <c r="N90" s="38">
        <f>ROUND(L90+M90,2)</f>
        <v>4226.62</v>
      </c>
      <c r="O90" s="34"/>
      <c r="P90" s="34"/>
      <c r="Q90" s="36"/>
      <c r="R90" s="6"/>
      <c r="S90" s="6"/>
      <c r="T90" s="6"/>
      <c r="U90" s="6"/>
      <c r="V90" s="6"/>
      <c r="W90" s="6"/>
      <c r="X90" s="6"/>
      <c r="Y90" s="6"/>
      <c r="Z90" s="6"/>
      <c r="AA90" s="6"/>
      <c r="AB90" s="6"/>
      <c r="AC90" s="6"/>
      <c r="AD90" s="6"/>
      <c r="AE90" s="6"/>
      <c r="AF90" s="6"/>
      <c r="AG90" s="6"/>
      <c r="AH90" s="6"/>
      <c r="AI90" s="6"/>
    </row>
    <row r="91" spans="2:35" ht="27.75" customHeight="1" x14ac:dyDescent="0.25">
      <c r="B91" s="47" t="s">
        <v>206</v>
      </c>
      <c r="C91" s="46">
        <f>'[1]MEMORIAL DE CÁLCULO'!C78</f>
        <v>87264</v>
      </c>
      <c r="D91" s="60" t="str">
        <f>'[1]MEMORIAL DE CÁLCULO'!D78</f>
        <v>REVESTIMENTO CERÂMICO PARA PAREDES INTERNAS COM PLACAS TIPO ESMALTADA EXTRA DE DIMENSÕES 20X20 CM</v>
      </c>
      <c r="E91" s="59">
        <f>'[1]MEMORIAL DE CÁLCULO'!E78</f>
        <v>87</v>
      </c>
      <c r="F91" s="46" t="s">
        <v>10</v>
      </c>
      <c r="G91" s="54">
        <v>43.61</v>
      </c>
      <c r="H91" s="52">
        <v>18.149999999999999</v>
      </c>
      <c r="I91" s="53">
        <f>G91+H91</f>
        <v>61.76</v>
      </c>
      <c r="J91" s="52">
        <f>ROUND(I91*E91,2)</f>
        <v>5373.12</v>
      </c>
      <c r="K91" s="39">
        <v>0.2387</v>
      </c>
      <c r="L91" s="38">
        <f>ROUND((1+K91)*E91*G91,2)</f>
        <v>4699.71</v>
      </c>
      <c r="M91" s="38">
        <f>ROUND((1+K91)*E91*H91,2)</f>
        <v>1955.97</v>
      </c>
      <c r="N91" s="38">
        <f>ROUND(L91+M91,2)</f>
        <v>6655.68</v>
      </c>
      <c r="O91" s="34"/>
      <c r="P91" s="34"/>
      <c r="Q91" s="36"/>
      <c r="R91" s="6"/>
      <c r="S91" s="6"/>
      <c r="T91" s="6"/>
      <c r="U91" s="6"/>
      <c r="V91" s="6"/>
      <c r="W91" s="6"/>
      <c r="X91" s="6"/>
      <c r="Y91" s="6"/>
      <c r="Z91" s="6"/>
      <c r="AA91" s="6"/>
      <c r="AB91" s="6"/>
      <c r="AC91" s="6"/>
      <c r="AD91" s="6"/>
      <c r="AE91" s="6"/>
      <c r="AF91" s="6"/>
      <c r="AG91" s="6"/>
      <c r="AH91" s="6"/>
      <c r="AI91" s="6"/>
    </row>
    <row r="92" spans="2:35" ht="20.25" customHeight="1" x14ac:dyDescent="0.25">
      <c r="B92" s="107" t="s">
        <v>205</v>
      </c>
      <c r="C92" s="108"/>
      <c r="D92" s="108"/>
      <c r="E92" s="108"/>
      <c r="F92" s="108"/>
      <c r="G92" s="108"/>
      <c r="H92" s="108"/>
      <c r="I92" s="108"/>
      <c r="J92" s="108"/>
      <c r="K92" s="108"/>
      <c r="L92" s="37">
        <f>SUM(L88:L91)</f>
        <v>26823.809999999998</v>
      </c>
      <c r="M92" s="37">
        <f>SUM(M88:M91)</f>
        <v>19315.060000000001</v>
      </c>
      <c r="N92" s="37">
        <f>SUM(N88:N91)</f>
        <v>46138.87</v>
      </c>
      <c r="O92" s="34"/>
      <c r="P92" s="34"/>
      <c r="Q92" s="36"/>
      <c r="R92" s="6"/>
      <c r="S92" s="6"/>
      <c r="T92" s="6"/>
      <c r="U92" s="6"/>
      <c r="V92" s="6"/>
      <c r="W92" s="6"/>
      <c r="X92" s="6"/>
      <c r="Y92" s="6"/>
      <c r="Z92" s="6"/>
      <c r="AA92" s="6"/>
      <c r="AB92" s="6"/>
      <c r="AC92" s="6"/>
      <c r="AD92" s="6"/>
      <c r="AE92" s="6"/>
      <c r="AF92" s="6"/>
      <c r="AG92" s="6"/>
      <c r="AH92" s="6"/>
      <c r="AI92" s="6"/>
    </row>
    <row r="93" spans="2:35" ht="20.25" customHeight="1" x14ac:dyDescent="0.25">
      <c r="B93" s="51">
        <v>10</v>
      </c>
      <c r="C93" s="109" t="s">
        <v>204</v>
      </c>
      <c r="D93" s="109"/>
      <c r="E93" s="109"/>
      <c r="F93" s="109"/>
      <c r="G93" s="109"/>
      <c r="H93" s="109"/>
      <c r="I93" s="109"/>
      <c r="J93" s="109"/>
      <c r="K93" s="109"/>
      <c r="L93" s="109"/>
      <c r="M93" s="109"/>
      <c r="N93" s="110"/>
      <c r="O93" s="34"/>
      <c r="P93" s="34"/>
      <c r="Q93" s="36"/>
      <c r="R93" s="6"/>
      <c r="S93" s="6"/>
      <c r="T93" s="6"/>
      <c r="U93" s="6"/>
      <c r="V93" s="6"/>
      <c r="W93" s="6"/>
      <c r="X93" s="6"/>
      <c r="Y93" s="6"/>
      <c r="Z93" s="6"/>
      <c r="AA93" s="6"/>
      <c r="AB93" s="6"/>
      <c r="AC93" s="6"/>
      <c r="AD93" s="6"/>
      <c r="AE93" s="6"/>
      <c r="AF93" s="6"/>
      <c r="AG93" s="6"/>
      <c r="AH93" s="6"/>
      <c r="AI93" s="6"/>
    </row>
    <row r="94" spans="2:35" ht="20.25" customHeight="1" x14ac:dyDescent="0.25">
      <c r="B94" s="67" t="s">
        <v>203</v>
      </c>
      <c r="C94" s="57">
        <v>93382</v>
      </c>
      <c r="D94" s="56" t="s">
        <v>202</v>
      </c>
      <c r="E94" s="44">
        <f>'[1]MEMORIAL DE CÁLCULO'!E80</f>
        <v>78.800000000000011</v>
      </c>
      <c r="F94" s="55" t="s">
        <v>37</v>
      </c>
      <c r="G94" s="54">
        <f>1.21+8.41</f>
        <v>9.620000000000001</v>
      </c>
      <c r="H94" s="52">
        <v>21.05</v>
      </c>
      <c r="I94" s="53">
        <f t="shared" ref="I94:I102" si="25">G94+H94</f>
        <v>30.67</v>
      </c>
      <c r="J94" s="52">
        <f t="shared" ref="J94:J102" si="26">ROUND(I94*E94,2)</f>
        <v>2416.8000000000002</v>
      </c>
      <c r="K94" s="39">
        <v>0.2387</v>
      </c>
      <c r="L94" s="38">
        <f t="shared" ref="L94:L102" si="27">ROUND((1+K94)*E94*G94,2)</f>
        <v>939</v>
      </c>
      <c r="M94" s="38">
        <f t="shared" ref="M94:M102" si="28">ROUND((1+K94)*E94*H94,2)</f>
        <v>2054.6799999999998</v>
      </c>
      <c r="N94" s="38">
        <f t="shared" ref="N94:N102" si="29">ROUND(L94+M94,2)</f>
        <v>2993.68</v>
      </c>
      <c r="O94" s="34"/>
      <c r="P94" s="34"/>
      <c r="Q94" s="36"/>
      <c r="R94" s="6"/>
      <c r="S94" s="6"/>
      <c r="T94" s="6"/>
      <c r="U94" s="6"/>
      <c r="V94" s="6"/>
      <c r="W94" s="6"/>
      <c r="X94" s="6"/>
      <c r="Y94" s="6"/>
      <c r="Z94" s="6"/>
      <c r="AA94" s="6"/>
      <c r="AB94" s="6"/>
      <c r="AC94" s="6"/>
      <c r="AD94" s="6"/>
      <c r="AE94" s="6"/>
      <c r="AF94" s="6"/>
      <c r="AG94" s="6"/>
      <c r="AH94" s="6"/>
      <c r="AI94" s="6"/>
    </row>
    <row r="95" spans="2:35" ht="27.75" customHeight="1" x14ac:dyDescent="0.25">
      <c r="B95" s="67" t="s">
        <v>201</v>
      </c>
      <c r="C95" s="57">
        <v>96622</v>
      </c>
      <c r="D95" s="91" t="s">
        <v>200</v>
      </c>
      <c r="E95" s="44">
        <f>'[1]MEMORIAL DE CÁLCULO'!E81</f>
        <v>39.400000000000006</v>
      </c>
      <c r="F95" s="55" t="s">
        <v>37</v>
      </c>
      <c r="G95" s="54">
        <v>78.540000000000006</v>
      </c>
      <c r="H95" s="52">
        <v>27.3</v>
      </c>
      <c r="I95" s="53">
        <f t="shared" si="25"/>
        <v>105.84</v>
      </c>
      <c r="J95" s="52">
        <f t="shared" si="26"/>
        <v>4170.1000000000004</v>
      </c>
      <c r="K95" s="39">
        <v>0.2387</v>
      </c>
      <c r="L95" s="38">
        <f t="shared" si="27"/>
        <v>3833.13</v>
      </c>
      <c r="M95" s="38">
        <f t="shared" si="28"/>
        <v>1332.37</v>
      </c>
      <c r="N95" s="38">
        <f t="shared" si="29"/>
        <v>5165.5</v>
      </c>
      <c r="O95" s="86"/>
      <c r="P95" s="86"/>
      <c r="Q95" s="85"/>
    </row>
    <row r="96" spans="2:35" ht="46.5" customHeight="1" x14ac:dyDescent="0.25">
      <c r="B96" s="67" t="s">
        <v>199</v>
      </c>
      <c r="C96" s="80">
        <v>87620</v>
      </c>
      <c r="D96" s="79" t="s">
        <v>198</v>
      </c>
      <c r="E96" s="44">
        <f>'[1]MEMORIAL DE CÁLCULO'!E82</f>
        <v>28</v>
      </c>
      <c r="F96" s="55" t="s">
        <v>10</v>
      </c>
      <c r="G96" s="54">
        <f>21.49+0.05+0.03</f>
        <v>21.57</v>
      </c>
      <c r="H96" s="52">
        <v>8.1</v>
      </c>
      <c r="I96" s="53">
        <f t="shared" si="25"/>
        <v>29.67</v>
      </c>
      <c r="J96" s="52">
        <f t="shared" si="26"/>
        <v>830.76</v>
      </c>
      <c r="K96" s="39">
        <v>0.2387</v>
      </c>
      <c r="L96" s="38">
        <f t="shared" si="27"/>
        <v>748.13</v>
      </c>
      <c r="M96" s="38">
        <f t="shared" si="28"/>
        <v>280.94</v>
      </c>
      <c r="N96" s="38">
        <f t="shared" si="29"/>
        <v>1029.07</v>
      </c>
      <c r="O96" s="34"/>
      <c r="P96" s="34"/>
      <c r="Q96" s="36"/>
      <c r="R96" s="6"/>
      <c r="S96" s="6"/>
      <c r="T96" s="6"/>
      <c r="U96" s="6"/>
      <c r="V96" s="6"/>
      <c r="W96" s="6"/>
      <c r="X96" s="6"/>
      <c r="Y96" s="6"/>
      <c r="Z96" s="6"/>
      <c r="AA96" s="6"/>
      <c r="AB96" s="6"/>
      <c r="AC96" s="6"/>
      <c r="AD96" s="6"/>
      <c r="AE96" s="6"/>
      <c r="AF96" s="6"/>
      <c r="AG96" s="6"/>
      <c r="AH96" s="6"/>
      <c r="AI96" s="6"/>
    </row>
    <row r="97" spans="2:35" s="6" customFormat="1" ht="33" customHeight="1" x14ac:dyDescent="0.25">
      <c r="B97" s="47" t="s">
        <v>197</v>
      </c>
      <c r="C97" s="90" t="s">
        <v>196</v>
      </c>
      <c r="D97" s="89" t="s">
        <v>195</v>
      </c>
      <c r="E97" s="44">
        <f>'[1]MEMORIAL DE CÁLCULO'!E83</f>
        <v>19.8</v>
      </c>
      <c r="F97" s="43" t="s">
        <v>37</v>
      </c>
      <c r="G97" s="42">
        <f>'[1]COMPOSIÇÕES PRÓPRIAS'!J127</f>
        <v>555.45204000000001</v>
      </c>
      <c r="H97" s="42">
        <v>188.42</v>
      </c>
      <c r="I97" s="41">
        <f t="shared" si="25"/>
        <v>743.87203999999997</v>
      </c>
      <c r="J97" s="40">
        <f t="shared" si="26"/>
        <v>14728.67</v>
      </c>
      <c r="K97" s="58">
        <v>0.2387</v>
      </c>
      <c r="L97" s="38">
        <f t="shared" si="27"/>
        <v>13623.16</v>
      </c>
      <c r="M97" s="38">
        <f t="shared" si="28"/>
        <v>4621.24</v>
      </c>
      <c r="N97" s="38">
        <f t="shared" si="29"/>
        <v>18244.400000000001</v>
      </c>
      <c r="O97" s="34"/>
      <c r="P97" s="34"/>
      <c r="Q97" s="36"/>
    </row>
    <row r="98" spans="2:35" ht="33" customHeight="1" x14ac:dyDescent="0.25">
      <c r="B98" s="67" t="s">
        <v>194</v>
      </c>
      <c r="C98" s="46">
        <v>87257</v>
      </c>
      <c r="D98" s="56" t="s">
        <v>193</v>
      </c>
      <c r="E98" s="44">
        <f>'[1]MEMORIAL DE CÁLCULO'!E84</f>
        <v>28</v>
      </c>
      <c r="F98" s="43" t="s">
        <v>10</v>
      </c>
      <c r="G98" s="54">
        <v>75.7</v>
      </c>
      <c r="H98" s="52">
        <v>7.89</v>
      </c>
      <c r="I98" s="53">
        <f t="shared" si="25"/>
        <v>83.59</v>
      </c>
      <c r="J98" s="52">
        <f t="shared" si="26"/>
        <v>2340.52</v>
      </c>
      <c r="K98" s="39">
        <v>0.2387</v>
      </c>
      <c r="L98" s="38">
        <f t="shared" si="27"/>
        <v>2625.55</v>
      </c>
      <c r="M98" s="38">
        <f t="shared" si="28"/>
        <v>273.64999999999998</v>
      </c>
      <c r="N98" s="38">
        <f t="shared" si="29"/>
        <v>2899.2</v>
      </c>
      <c r="O98" s="34"/>
      <c r="P98" s="34"/>
      <c r="Q98" s="36"/>
      <c r="R98" s="6"/>
      <c r="S98" s="6"/>
      <c r="T98" s="6"/>
      <c r="U98" s="6"/>
      <c r="V98" s="6"/>
      <c r="W98" s="6"/>
      <c r="X98" s="6"/>
      <c r="Y98" s="6"/>
      <c r="Z98" s="6"/>
      <c r="AA98" s="6"/>
      <c r="AB98" s="6"/>
      <c r="AC98" s="6"/>
      <c r="AD98" s="6"/>
      <c r="AE98" s="6"/>
      <c r="AF98" s="6"/>
      <c r="AG98" s="6"/>
      <c r="AH98" s="6"/>
      <c r="AI98" s="6"/>
    </row>
    <row r="99" spans="2:35" ht="33" customHeight="1" x14ac:dyDescent="0.25">
      <c r="B99" s="67" t="s">
        <v>192</v>
      </c>
      <c r="C99" s="88">
        <v>94996</v>
      </c>
      <c r="D99" s="56" t="s">
        <v>191</v>
      </c>
      <c r="E99" s="44">
        <f>'[1]MEMORIAL DE CÁLCULO'!E85</f>
        <v>43</v>
      </c>
      <c r="F99" s="43" t="s">
        <v>37</v>
      </c>
      <c r="G99" s="54">
        <f>99.51</f>
        <v>99.51</v>
      </c>
      <c r="H99" s="52">
        <v>25.66</v>
      </c>
      <c r="I99" s="53">
        <f t="shared" si="25"/>
        <v>125.17</v>
      </c>
      <c r="J99" s="52">
        <f t="shared" si="26"/>
        <v>5382.31</v>
      </c>
      <c r="K99" s="39">
        <v>0.2387</v>
      </c>
      <c r="L99" s="38">
        <f t="shared" si="27"/>
        <v>5300.31</v>
      </c>
      <c r="M99" s="38">
        <f t="shared" si="28"/>
        <v>1366.76</v>
      </c>
      <c r="N99" s="38">
        <f t="shared" si="29"/>
        <v>6667.07</v>
      </c>
      <c r="O99" s="34"/>
      <c r="P99" s="34"/>
      <c r="Q99" s="36"/>
      <c r="R99" s="6"/>
      <c r="S99" s="6"/>
      <c r="T99" s="6"/>
      <c r="U99" s="6"/>
      <c r="V99" s="6"/>
      <c r="W99" s="6"/>
      <c r="X99" s="6"/>
      <c r="Y99" s="6"/>
      <c r="Z99" s="6"/>
      <c r="AA99" s="6"/>
      <c r="AB99" s="6"/>
      <c r="AC99" s="6"/>
      <c r="AD99" s="6"/>
      <c r="AE99" s="6"/>
      <c r="AF99" s="6"/>
      <c r="AG99" s="6"/>
      <c r="AH99" s="6"/>
      <c r="AI99" s="6"/>
    </row>
    <row r="100" spans="2:35" ht="33" customHeight="1" x14ac:dyDescent="0.25">
      <c r="B100" s="67" t="s">
        <v>189</v>
      </c>
      <c r="C100" s="88">
        <v>97097</v>
      </c>
      <c r="D100" s="56" t="s">
        <v>29</v>
      </c>
      <c r="E100" s="44">
        <f>'[1]MEMORIAL DE CÁLCULO'!E86</f>
        <v>430</v>
      </c>
      <c r="F100" s="43" t="s">
        <v>10</v>
      </c>
      <c r="G100" s="54">
        <v>35.39</v>
      </c>
      <c r="H100" s="52">
        <v>1.56</v>
      </c>
      <c r="I100" s="53">
        <f t="shared" si="25"/>
        <v>36.950000000000003</v>
      </c>
      <c r="J100" s="52">
        <f t="shared" si="26"/>
        <v>15888.5</v>
      </c>
      <c r="K100" s="39">
        <v>0.2387</v>
      </c>
      <c r="L100" s="38">
        <f t="shared" si="27"/>
        <v>18850.16</v>
      </c>
      <c r="M100" s="38">
        <f t="shared" si="28"/>
        <v>830.92</v>
      </c>
      <c r="N100" s="38">
        <f t="shared" si="29"/>
        <v>19681.080000000002</v>
      </c>
      <c r="O100" s="34"/>
      <c r="P100" s="34"/>
      <c r="Q100" s="36"/>
      <c r="R100" s="6"/>
      <c r="S100" s="6"/>
      <c r="T100" s="6"/>
      <c r="U100" s="6"/>
      <c r="V100" s="6"/>
      <c r="W100" s="6"/>
      <c r="X100" s="6"/>
      <c r="Y100" s="6"/>
      <c r="Z100" s="6"/>
      <c r="AA100" s="6"/>
      <c r="AB100" s="6"/>
      <c r="AC100" s="6"/>
      <c r="AD100" s="6"/>
      <c r="AE100" s="6"/>
      <c r="AF100" s="6"/>
      <c r="AG100" s="6"/>
      <c r="AH100" s="6"/>
      <c r="AI100" s="6"/>
    </row>
    <row r="101" spans="2:35" ht="20.25" customHeight="1" x14ac:dyDescent="0.25">
      <c r="B101" s="67" t="s">
        <v>190</v>
      </c>
      <c r="C101" s="57">
        <v>97114</v>
      </c>
      <c r="D101" s="56" t="s">
        <v>27</v>
      </c>
      <c r="E101" s="44">
        <f>'[1]MEMORIAL DE CÁLCULO'!E87</f>
        <v>380</v>
      </c>
      <c r="F101" s="55" t="s">
        <v>22</v>
      </c>
      <c r="G101" s="54">
        <v>0.02</v>
      </c>
      <c r="H101" s="52">
        <v>0.3</v>
      </c>
      <c r="I101" s="53">
        <f t="shared" si="25"/>
        <v>0.32</v>
      </c>
      <c r="J101" s="52">
        <f t="shared" si="26"/>
        <v>121.6</v>
      </c>
      <c r="K101" s="39">
        <v>0.2387</v>
      </c>
      <c r="L101" s="38">
        <f t="shared" si="27"/>
        <v>9.41</v>
      </c>
      <c r="M101" s="38">
        <f t="shared" si="28"/>
        <v>141.21</v>
      </c>
      <c r="N101" s="38">
        <f t="shared" si="29"/>
        <v>150.62</v>
      </c>
      <c r="O101" s="34"/>
      <c r="P101" s="34"/>
      <c r="Q101" s="36"/>
      <c r="R101" s="6"/>
      <c r="S101" s="6"/>
      <c r="T101" s="6"/>
      <c r="U101" s="6"/>
      <c r="V101" s="6"/>
      <c r="W101" s="6"/>
      <c r="X101" s="6"/>
      <c r="Y101" s="6"/>
      <c r="Z101" s="6"/>
      <c r="AA101" s="6"/>
      <c r="AB101" s="6"/>
      <c r="AC101" s="6"/>
      <c r="AD101" s="6"/>
      <c r="AE101" s="6"/>
      <c r="AF101" s="6"/>
      <c r="AG101" s="6"/>
      <c r="AH101" s="6"/>
      <c r="AI101" s="6"/>
    </row>
    <row r="102" spans="2:35" ht="33" customHeight="1" x14ac:dyDescent="0.25">
      <c r="B102" s="67" t="s">
        <v>189</v>
      </c>
      <c r="C102" s="46">
        <v>102491</v>
      </c>
      <c r="D102" s="56" t="s">
        <v>188</v>
      </c>
      <c r="E102" s="44">
        <f>'[1]MEMORIAL DE CÁLCULO'!E88</f>
        <v>487</v>
      </c>
      <c r="F102" s="43" t="s">
        <v>10</v>
      </c>
      <c r="G102" s="54">
        <v>11.78</v>
      </c>
      <c r="H102" s="52">
        <v>6.51</v>
      </c>
      <c r="I102" s="53">
        <f t="shared" si="25"/>
        <v>18.29</v>
      </c>
      <c r="J102" s="52">
        <f t="shared" si="26"/>
        <v>8907.23</v>
      </c>
      <c r="K102" s="39">
        <v>0.2387</v>
      </c>
      <c r="L102" s="38">
        <f t="shared" si="27"/>
        <v>7106.25</v>
      </c>
      <c r="M102" s="38">
        <f t="shared" si="28"/>
        <v>3927.14</v>
      </c>
      <c r="N102" s="38">
        <f t="shared" si="29"/>
        <v>11033.39</v>
      </c>
      <c r="O102" s="34"/>
      <c r="P102" s="34"/>
      <c r="Q102" s="36"/>
      <c r="R102" s="6"/>
      <c r="S102" s="6"/>
      <c r="T102" s="6"/>
      <c r="U102" s="6"/>
      <c r="V102" s="6"/>
      <c r="W102" s="6"/>
      <c r="X102" s="6"/>
      <c r="Y102" s="6"/>
      <c r="Z102" s="6"/>
      <c r="AA102" s="6"/>
      <c r="AB102" s="6"/>
      <c r="AC102" s="6"/>
      <c r="AD102" s="6"/>
      <c r="AE102" s="6"/>
      <c r="AF102" s="6"/>
      <c r="AG102" s="6"/>
      <c r="AH102" s="6"/>
      <c r="AI102" s="6"/>
    </row>
    <row r="103" spans="2:35" ht="20.25" customHeight="1" x14ac:dyDescent="0.25">
      <c r="B103" s="107" t="s">
        <v>187</v>
      </c>
      <c r="C103" s="108"/>
      <c r="D103" s="108"/>
      <c r="E103" s="108"/>
      <c r="F103" s="108"/>
      <c r="G103" s="108"/>
      <c r="H103" s="108"/>
      <c r="I103" s="108"/>
      <c r="J103" s="108"/>
      <c r="K103" s="108"/>
      <c r="L103" s="37">
        <f>SUM(L94:L102)</f>
        <v>53035.100000000006</v>
      </c>
      <c r="M103" s="37">
        <f>SUM(M94:M102)</f>
        <v>14828.909999999998</v>
      </c>
      <c r="N103" s="37">
        <f>SUM(N94:N102)</f>
        <v>67864.010000000009</v>
      </c>
      <c r="O103" s="34"/>
      <c r="P103" s="34"/>
      <c r="Q103" s="36"/>
      <c r="R103" s="6"/>
      <c r="S103" s="6"/>
      <c r="T103" s="6"/>
      <c r="U103" s="6"/>
      <c r="V103" s="6"/>
      <c r="W103" s="6"/>
      <c r="X103" s="6"/>
      <c r="Y103" s="6"/>
      <c r="Z103" s="6"/>
      <c r="AA103" s="6"/>
      <c r="AB103" s="6"/>
      <c r="AC103" s="6"/>
      <c r="AD103" s="6"/>
      <c r="AE103" s="6"/>
      <c r="AF103" s="6"/>
      <c r="AG103" s="6"/>
      <c r="AH103" s="6"/>
      <c r="AI103" s="6"/>
    </row>
    <row r="104" spans="2:35" ht="20.25" customHeight="1" x14ac:dyDescent="0.25">
      <c r="B104" s="51">
        <v>11</v>
      </c>
      <c r="C104" s="109" t="str">
        <f>'[1]MEMORIAL DE CÁLCULO'!C89</f>
        <v>PINTURA</v>
      </c>
      <c r="D104" s="109">
        <f>'[1]MEMORIAL DE CÁLCULO'!D89</f>
        <v>0</v>
      </c>
      <c r="E104" s="109">
        <f>'[1]MEMORIAL DE CÁLCULO'!E89</f>
        <v>0</v>
      </c>
      <c r="F104" s="109">
        <f>'[1]MEMORIAL DE CÁLCULO'!F89</f>
        <v>0</v>
      </c>
      <c r="G104" s="109"/>
      <c r="H104" s="109"/>
      <c r="I104" s="109"/>
      <c r="J104" s="109"/>
      <c r="K104" s="109"/>
      <c r="L104" s="109"/>
      <c r="M104" s="109"/>
      <c r="N104" s="110"/>
      <c r="O104" s="34"/>
      <c r="P104" s="34"/>
      <c r="Q104" s="36"/>
      <c r="R104" s="6"/>
      <c r="S104" s="6"/>
      <c r="T104" s="6"/>
      <c r="U104" s="6"/>
      <c r="V104" s="6"/>
      <c r="W104" s="6"/>
      <c r="X104" s="6"/>
      <c r="Y104" s="6"/>
      <c r="Z104" s="6"/>
      <c r="AA104" s="6"/>
      <c r="AB104" s="6"/>
      <c r="AC104" s="6"/>
      <c r="AD104" s="6"/>
      <c r="AE104" s="6"/>
      <c r="AF104" s="6"/>
      <c r="AG104" s="6"/>
      <c r="AH104" s="6"/>
      <c r="AI104" s="6"/>
    </row>
    <row r="105" spans="2:35" ht="20.25" customHeight="1" x14ac:dyDescent="0.25">
      <c r="B105" s="102" t="s">
        <v>186</v>
      </c>
      <c r="C105" s="103"/>
      <c r="D105" s="103"/>
      <c r="E105" s="63"/>
      <c r="F105" s="50"/>
      <c r="G105" s="50"/>
      <c r="H105" s="50"/>
      <c r="I105" s="63"/>
      <c r="J105" s="63"/>
      <c r="K105" s="63"/>
      <c r="L105" s="63"/>
      <c r="M105" s="63"/>
      <c r="N105" s="62"/>
      <c r="O105" s="34"/>
      <c r="P105" s="34"/>
      <c r="Q105" s="36"/>
      <c r="R105" s="6"/>
      <c r="S105" s="6"/>
      <c r="T105" s="6"/>
      <c r="U105" s="6"/>
      <c r="V105" s="6"/>
      <c r="W105" s="6"/>
      <c r="X105" s="6"/>
      <c r="Y105" s="6"/>
      <c r="Z105" s="6"/>
      <c r="AA105" s="6"/>
      <c r="AB105" s="6"/>
      <c r="AC105" s="6"/>
      <c r="AD105" s="6"/>
      <c r="AE105" s="6"/>
      <c r="AF105" s="6"/>
      <c r="AG105" s="6"/>
      <c r="AH105" s="6"/>
      <c r="AI105" s="6"/>
    </row>
    <row r="106" spans="2:35" ht="20.25" customHeight="1" x14ac:dyDescent="0.25">
      <c r="B106" s="47" t="s">
        <v>185</v>
      </c>
      <c r="C106" s="46">
        <f>'[1]MEMORIAL DE CÁLCULO'!C91</f>
        <v>88495</v>
      </c>
      <c r="D106" s="60" t="str">
        <f>'[1]MEMORIAL DE CÁLCULO'!D91</f>
        <v>APLICAÇÃO E LIXAMENTO DE MASSA LÁTEX EM PAREDES, UMA DEMÃO.</v>
      </c>
      <c r="E106" s="59">
        <f>'[1]MEMORIAL DE CÁLCULO'!E91</f>
        <v>517</v>
      </c>
      <c r="F106" s="46" t="s">
        <v>10</v>
      </c>
      <c r="G106" s="54">
        <v>6.62</v>
      </c>
      <c r="H106" s="52">
        <v>5.38</v>
      </c>
      <c r="I106" s="53">
        <f>G106+H106</f>
        <v>12</v>
      </c>
      <c r="J106" s="52">
        <f>ROUND(I106*E106,2)</f>
        <v>6204</v>
      </c>
      <c r="K106" s="39">
        <v>0.2387</v>
      </c>
      <c r="L106" s="38">
        <f>ROUND((1+K106)*E106*G106,2)</f>
        <v>4239.5</v>
      </c>
      <c r="M106" s="38">
        <f>ROUND((1+K106)*E106*H106,2)</f>
        <v>3445.39</v>
      </c>
      <c r="N106" s="38">
        <f>ROUND(L106+M106,2)</f>
        <v>7684.89</v>
      </c>
      <c r="O106" s="34"/>
      <c r="P106" s="34"/>
      <c r="Q106" s="36"/>
      <c r="R106" s="6"/>
      <c r="S106" s="6"/>
      <c r="T106" s="6"/>
      <c r="U106" s="6"/>
      <c r="V106" s="6"/>
      <c r="W106" s="6"/>
      <c r="X106" s="6"/>
      <c r="Y106" s="6"/>
      <c r="Z106" s="6"/>
      <c r="AA106" s="6"/>
      <c r="AB106" s="6"/>
      <c r="AC106" s="6"/>
      <c r="AD106" s="6"/>
      <c r="AE106" s="6"/>
      <c r="AF106" s="6"/>
      <c r="AG106" s="6"/>
      <c r="AH106" s="6"/>
      <c r="AI106" s="6"/>
    </row>
    <row r="107" spans="2:35" ht="20.25" customHeight="1" x14ac:dyDescent="0.25">
      <c r="B107" s="47" t="s">
        <v>184</v>
      </c>
      <c r="C107" s="46">
        <f>'[1]MEMORIAL DE CÁLCULO'!C92</f>
        <v>88485</v>
      </c>
      <c r="D107" s="60" t="str">
        <f>'[1]MEMORIAL DE CÁLCULO'!D92</f>
        <v>APLICAÇÃO DE FUNDO SELADOR ACRÍLICO EM PAREDES, UMA DEMÃO.</v>
      </c>
      <c r="E107" s="59">
        <f>'[1]MEMORIAL DE CÁLCULO'!E92+10</f>
        <v>1693</v>
      </c>
      <c r="F107" s="46" t="s">
        <v>10</v>
      </c>
      <c r="G107" s="54">
        <v>1.63</v>
      </c>
      <c r="H107" s="52">
        <v>0.89</v>
      </c>
      <c r="I107" s="53">
        <f>G107+H107</f>
        <v>2.52</v>
      </c>
      <c r="J107" s="52">
        <f>ROUND(I107*E107,2)</f>
        <v>4266.3599999999997</v>
      </c>
      <c r="K107" s="39">
        <v>0.2387</v>
      </c>
      <c r="L107" s="38">
        <f>ROUND((1+K107)*E107*G107,2)</f>
        <v>3418.3</v>
      </c>
      <c r="M107" s="38">
        <f>ROUND((1+K107)*E107*H107,2)</f>
        <v>1866.44</v>
      </c>
      <c r="N107" s="38">
        <f>ROUND(L107+M107,2)</f>
        <v>5284.74</v>
      </c>
      <c r="O107" s="34"/>
      <c r="P107" s="34"/>
      <c r="Q107" s="36"/>
      <c r="R107" s="6"/>
      <c r="S107" s="6"/>
      <c r="T107" s="6"/>
      <c r="U107" s="6"/>
      <c r="V107" s="6"/>
      <c r="W107" s="6"/>
      <c r="X107" s="6"/>
      <c r="Y107" s="6"/>
      <c r="Z107" s="6"/>
      <c r="AA107" s="6"/>
      <c r="AB107" s="6"/>
      <c r="AC107" s="6"/>
      <c r="AD107" s="6"/>
      <c r="AE107" s="6"/>
      <c r="AF107" s="6"/>
      <c r="AG107" s="6"/>
      <c r="AH107" s="6"/>
      <c r="AI107" s="6"/>
    </row>
    <row r="108" spans="2:35" ht="20.25" customHeight="1" x14ac:dyDescent="0.25">
      <c r="B108" s="47" t="s">
        <v>183</v>
      </c>
      <c r="C108" s="46">
        <f>'[1]MEMORIAL DE CÁLCULO'!C93</f>
        <v>88489</v>
      </c>
      <c r="D108" s="60" t="str">
        <f>'[1]MEMORIAL DE CÁLCULO'!D93</f>
        <v>APLICAÇÃO MANUAL DE PINTURA COM TINTA LÁTEX ACRÍLICA EM PAREDES, DUAS DEMÃOS.</v>
      </c>
      <c r="E108" s="59">
        <f>'[1]MEMORIAL DE CÁLCULO'!E93+10</f>
        <v>1693</v>
      </c>
      <c r="F108" s="46" t="s">
        <v>10</v>
      </c>
      <c r="G108" s="54">
        <v>10.87</v>
      </c>
      <c r="H108" s="52">
        <v>4.28</v>
      </c>
      <c r="I108" s="53">
        <f>G108+H108</f>
        <v>15.149999999999999</v>
      </c>
      <c r="J108" s="52">
        <f>ROUND(I108*E108,2)</f>
        <v>25648.95</v>
      </c>
      <c r="K108" s="39">
        <v>0.2387</v>
      </c>
      <c r="L108" s="38">
        <f>ROUND((1+K108)*E108*G108,2)</f>
        <v>22795.68</v>
      </c>
      <c r="M108" s="38">
        <f>ROUND((1+K108)*E108*H108,2)</f>
        <v>8975.67</v>
      </c>
      <c r="N108" s="38">
        <f>ROUND(L108+M108,2)</f>
        <v>31771.35</v>
      </c>
      <c r="O108" s="34"/>
      <c r="P108" s="34"/>
      <c r="Q108" s="36"/>
      <c r="R108" s="6"/>
      <c r="S108" s="6"/>
      <c r="T108" s="6"/>
      <c r="U108" s="6"/>
      <c r="V108" s="6"/>
      <c r="W108" s="6"/>
      <c r="X108" s="6"/>
      <c r="Y108" s="6"/>
      <c r="Z108" s="6"/>
      <c r="AA108" s="6"/>
      <c r="AB108" s="6"/>
      <c r="AC108" s="6"/>
      <c r="AD108" s="6"/>
      <c r="AE108" s="6"/>
      <c r="AF108" s="6"/>
      <c r="AG108" s="6"/>
      <c r="AH108" s="6"/>
      <c r="AI108" s="6"/>
    </row>
    <row r="109" spans="2:35" ht="20.25" customHeight="1" x14ac:dyDescent="0.25">
      <c r="B109" s="102" t="s">
        <v>182</v>
      </c>
      <c r="C109" s="103"/>
      <c r="D109" s="103"/>
      <c r="E109" s="63"/>
      <c r="F109" s="50"/>
      <c r="G109" s="50"/>
      <c r="H109" s="50"/>
      <c r="I109" s="63"/>
      <c r="J109" s="63"/>
      <c r="K109" s="63"/>
      <c r="L109" s="63"/>
      <c r="M109" s="63"/>
      <c r="N109" s="62"/>
      <c r="O109" s="34"/>
      <c r="P109" s="34"/>
      <c r="Q109" s="36"/>
      <c r="R109" s="6"/>
      <c r="S109" s="6"/>
      <c r="T109" s="6"/>
      <c r="U109" s="6"/>
      <c r="V109" s="6"/>
      <c r="W109" s="6"/>
      <c r="X109" s="6"/>
      <c r="Y109" s="6"/>
      <c r="Z109" s="6"/>
      <c r="AA109" s="6"/>
      <c r="AB109" s="6"/>
      <c r="AC109" s="6"/>
      <c r="AD109" s="6"/>
      <c r="AE109" s="6"/>
      <c r="AF109" s="6"/>
      <c r="AG109" s="6"/>
      <c r="AH109" s="6"/>
      <c r="AI109" s="6"/>
    </row>
    <row r="110" spans="2:35" ht="28.5" customHeight="1" x14ac:dyDescent="0.25">
      <c r="B110" s="47" t="s">
        <v>181</v>
      </c>
      <c r="C110" s="46">
        <f>'[1]MEMORIAL DE CÁLCULO'!C95</f>
        <v>102504</v>
      </c>
      <c r="D110" s="60" t="str">
        <f>'[1]MEMORIAL DE CÁLCULO'!D95</f>
        <v>PINTURA DE DEMARCAÇÃO DE QUADRA POLIESPORTIVA COM BORRACHA CLORADA, E = 5CM, APLICAÇÃO MANUAL.</v>
      </c>
      <c r="E110" s="59">
        <f>'[1]MEMORIAL DE CÁLCULO'!E95</f>
        <v>416</v>
      </c>
      <c r="F110" s="46" t="s">
        <v>22</v>
      </c>
      <c r="G110" s="54">
        <v>2.66</v>
      </c>
      <c r="H110" s="52">
        <v>5.7</v>
      </c>
      <c r="I110" s="53">
        <f>G110+H110</f>
        <v>8.36</v>
      </c>
      <c r="J110" s="52">
        <f>ROUND(I110*E110,2)</f>
        <v>3477.76</v>
      </c>
      <c r="K110" s="39">
        <v>0.2387</v>
      </c>
      <c r="L110" s="38">
        <f>ROUND((1+K110)*E110*G110,2)</f>
        <v>1370.7</v>
      </c>
      <c r="M110" s="38">
        <f>ROUND((1+K110)*E110*H110,2)</f>
        <v>2937.21</v>
      </c>
      <c r="N110" s="38">
        <f>ROUND(L110+M110,2)</f>
        <v>4307.91</v>
      </c>
      <c r="O110" s="34"/>
      <c r="P110" s="34"/>
      <c r="Q110" s="36"/>
      <c r="R110" s="6"/>
      <c r="S110" s="6"/>
      <c r="T110" s="6"/>
      <c r="U110" s="6"/>
      <c r="V110" s="6"/>
      <c r="W110" s="6"/>
      <c r="X110" s="6"/>
      <c r="Y110" s="6"/>
      <c r="Z110" s="6"/>
      <c r="AA110" s="6"/>
      <c r="AB110" s="6"/>
      <c r="AC110" s="6"/>
      <c r="AD110" s="6"/>
      <c r="AE110" s="6"/>
      <c r="AF110" s="6"/>
      <c r="AG110" s="6"/>
      <c r="AH110" s="6"/>
      <c r="AI110" s="6"/>
    </row>
    <row r="111" spans="2:35" ht="20.25" customHeight="1" x14ac:dyDescent="0.25">
      <c r="B111" s="67" t="s">
        <v>180</v>
      </c>
      <c r="C111" s="57">
        <v>99814</v>
      </c>
      <c r="D111" s="61" t="s">
        <v>179</v>
      </c>
      <c r="E111" s="87">
        <f>E112</f>
        <v>735</v>
      </c>
      <c r="F111" s="57" t="s">
        <v>10</v>
      </c>
      <c r="G111" s="54">
        <v>0.46</v>
      </c>
      <c r="H111" s="52">
        <v>1.27</v>
      </c>
      <c r="I111" s="53">
        <f>G111+H111</f>
        <v>1.73</v>
      </c>
      <c r="J111" s="52">
        <f>ROUND(I111*E111,2)</f>
        <v>1271.55</v>
      </c>
      <c r="K111" s="39">
        <v>0.2387</v>
      </c>
      <c r="L111" s="38">
        <f>ROUND((1+K111)*E111*G111,2)</f>
        <v>418.8</v>
      </c>
      <c r="M111" s="38">
        <f>ROUND((1+K111)*E111*H111,2)</f>
        <v>1156.26</v>
      </c>
      <c r="N111" s="38">
        <f>ROUND(L111+M111,2)</f>
        <v>1575.06</v>
      </c>
      <c r="O111" s="86"/>
      <c r="P111" s="86"/>
      <c r="Q111" s="85"/>
    </row>
    <row r="112" spans="2:35" ht="20.25" customHeight="1" x14ac:dyDescent="0.25">
      <c r="B112" s="67" t="s">
        <v>178</v>
      </c>
      <c r="C112" s="57">
        <f>'[1]MEMORIAL DE CÁLCULO'!C96</f>
        <v>102494</v>
      </c>
      <c r="D112" s="61" t="str">
        <f>'[1]MEMORIAL DE CÁLCULO'!D96</f>
        <v>PINTURA DE PISO COM TINTA EPÓXI, APLICAÇÃO MANUAL, 2 DEMÃOS, INCLUSO PRIMER EPÓXI.</v>
      </c>
      <c r="E112" s="87">
        <v>735</v>
      </c>
      <c r="F112" s="57" t="s">
        <v>10</v>
      </c>
      <c r="G112" s="54">
        <v>53.78</v>
      </c>
      <c r="H112" s="52">
        <v>6.49</v>
      </c>
      <c r="I112" s="53">
        <f>G112+H112</f>
        <v>60.27</v>
      </c>
      <c r="J112" s="52">
        <f>ROUND(I112*E112,2)</f>
        <v>44298.45</v>
      </c>
      <c r="K112" s="39">
        <v>0.2387</v>
      </c>
      <c r="L112" s="38">
        <f>ROUND((1+K112)*E112*G112,2)</f>
        <v>48963.71</v>
      </c>
      <c r="M112" s="38">
        <f>ROUND((1+K112)*E112*H112,2)</f>
        <v>5908.78</v>
      </c>
      <c r="N112" s="38">
        <f>ROUND(L112+M112,2)</f>
        <v>54872.49</v>
      </c>
      <c r="O112" s="86"/>
      <c r="P112" s="86"/>
      <c r="Q112" s="85"/>
    </row>
    <row r="113" spans="2:35" ht="20.25" customHeight="1" x14ac:dyDescent="0.25">
      <c r="B113" s="107" t="s">
        <v>177</v>
      </c>
      <c r="C113" s="108"/>
      <c r="D113" s="108"/>
      <c r="E113" s="108"/>
      <c r="F113" s="108"/>
      <c r="G113" s="108"/>
      <c r="H113" s="108"/>
      <c r="I113" s="108"/>
      <c r="J113" s="108"/>
      <c r="K113" s="108"/>
      <c r="L113" s="37">
        <f>SUM(L105:L112)</f>
        <v>81206.69</v>
      </c>
      <c r="M113" s="37">
        <f>SUM(M105:M112)</f>
        <v>24289.749999999996</v>
      </c>
      <c r="N113" s="37">
        <f>SUM(N105:N112)</f>
        <v>105496.44</v>
      </c>
      <c r="O113" s="34"/>
      <c r="P113" s="34"/>
      <c r="Q113" s="36"/>
      <c r="R113" s="6"/>
      <c r="S113" s="6"/>
      <c r="T113" s="6"/>
      <c r="U113" s="6"/>
      <c r="V113" s="6"/>
      <c r="W113" s="6"/>
      <c r="X113" s="6"/>
      <c r="Y113" s="6"/>
      <c r="Z113" s="6"/>
      <c r="AA113" s="6"/>
      <c r="AB113" s="6"/>
      <c r="AC113" s="6"/>
      <c r="AD113" s="6"/>
      <c r="AE113" s="6"/>
      <c r="AF113" s="6"/>
      <c r="AG113" s="6"/>
      <c r="AH113" s="6"/>
      <c r="AI113" s="6"/>
    </row>
    <row r="114" spans="2:35" ht="20.25" customHeight="1" x14ac:dyDescent="0.25">
      <c r="B114" s="51">
        <v>12</v>
      </c>
      <c r="C114" s="109" t="str">
        <f>'[1]MEMORIAL DE CÁLCULO'!C98</f>
        <v>PLUVIAL</v>
      </c>
      <c r="D114" s="109">
        <f>'[1]MEMORIAL DE CÁLCULO'!D98</f>
        <v>0</v>
      </c>
      <c r="E114" s="109">
        <f>'[1]MEMORIAL DE CÁLCULO'!E98</f>
        <v>0</v>
      </c>
      <c r="F114" s="109">
        <f>'[1]MEMORIAL DE CÁLCULO'!F98</f>
        <v>0</v>
      </c>
      <c r="G114" s="109"/>
      <c r="H114" s="109"/>
      <c r="I114" s="109"/>
      <c r="J114" s="109"/>
      <c r="K114" s="109"/>
      <c r="L114" s="109"/>
      <c r="M114" s="109"/>
      <c r="N114" s="110"/>
      <c r="O114" s="34"/>
      <c r="P114" s="34"/>
      <c r="Q114" s="36"/>
      <c r="R114" s="6"/>
      <c r="S114" s="6"/>
      <c r="T114" s="6"/>
      <c r="U114" s="6"/>
      <c r="V114" s="6"/>
      <c r="W114" s="6"/>
      <c r="X114" s="6"/>
      <c r="Y114" s="6"/>
      <c r="Z114" s="6"/>
      <c r="AA114" s="6"/>
      <c r="AB114" s="6"/>
      <c r="AC114" s="6"/>
      <c r="AD114" s="6"/>
      <c r="AE114" s="6"/>
      <c r="AF114" s="6"/>
      <c r="AG114" s="6"/>
      <c r="AH114" s="6"/>
      <c r="AI114" s="6"/>
    </row>
    <row r="115" spans="2:35" s="6" customFormat="1" ht="27.75" customHeight="1" x14ac:dyDescent="0.25">
      <c r="B115" s="47" t="s">
        <v>176</v>
      </c>
      <c r="C115" s="46">
        <f>'[1]MEMORIAL DE CÁLCULO'!C99</f>
        <v>100327</v>
      </c>
      <c r="D115" s="60" t="str">
        <f>'[1]MEMORIAL DE CÁLCULO'!D99</f>
        <v>RUFO EXTERNO/INTERNO EM CHAPA DE AÇO GALVANIZADO NÚMERO 26, CORTE DE 33 CM , INCLUSO IÇAMENTO.</v>
      </c>
      <c r="E115" s="59">
        <f>'[1]MEMORIAL DE CÁLCULO'!E99</f>
        <v>145</v>
      </c>
      <c r="F115" s="46" t="str">
        <f>'[1]MEMORIAL DE CÁLCULO'!F99</f>
        <v>m</v>
      </c>
      <c r="G115" s="42">
        <v>69.7</v>
      </c>
      <c r="H115" s="40">
        <v>6.49</v>
      </c>
      <c r="I115" s="41">
        <f t="shared" ref="I115:I126" si="30">G115+H115</f>
        <v>76.19</v>
      </c>
      <c r="J115" s="40">
        <f t="shared" ref="J115:J126" si="31">ROUND(I115*E115,2)</f>
        <v>11047.55</v>
      </c>
      <c r="K115" s="58">
        <v>0.2387</v>
      </c>
      <c r="L115" s="38">
        <f t="shared" ref="L115:L126" si="32">ROUND((1+K115)*E115*G115,2)</f>
        <v>12518.92</v>
      </c>
      <c r="M115" s="38">
        <f t="shared" ref="M115:M126" si="33">ROUND((1+K115)*E115*H115,2)</f>
        <v>1165.68</v>
      </c>
      <c r="N115" s="38">
        <f t="shared" ref="N115:N126" si="34">ROUND(L115+M115,2)</f>
        <v>13684.6</v>
      </c>
      <c r="O115" s="34"/>
      <c r="P115" s="34"/>
      <c r="Q115" s="36"/>
    </row>
    <row r="116" spans="2:35" s="6" customFormat="1" ht="27.75" customHeight="1" x14ac:dyDescent="0.25">
      <c r="B116" s="47" t="s">
        <v>175</v>
      </c>
      <c r="C116" s="46">
        <f>'[1]MEMORIAL DE CÁLCULO'!C100</f>
        <v>100327</v>
      </c>
      <c r="D116" s="60" t="str">
        <f>'[1]MEMORIAL DE CÁLCULO'!D100</f>
        <v>CALHA EM CHAPA DE AÇO GALVANIZADO NÚMERO 24, DESENVOLVIMENTO DE 50 CM, INCLUSO TRANSPORTE VERTICAL.</v>
      </c>
      <c r="E116" s="59">
        <f>'[1]MEMORIAL DE CÁLCULO'!E100</f>
        <v>266</v>
      </c>
      <c r="F116" s="46" t="str">
        <f>'[1]MEMORIAL DE CÁLCULO'!F100</f>
        <v>m</v>
      </c>
      <c r="G116" s="42">
        <v>104.57</v>
      </c>
      <c r="H116" s="40">
        <v>10.66</v>
      </c>
      <c r="I116" s="41">
        <f t="shared" si="30"/>
        <v>115.22999999999999</v>
      </c>
      <c r="J116" s="40">
        <f t="shared" si="31"/>
        <v>30651.18</v>
      </c>
      <c r="K116" s="58">
        <v>0.2387</v>
      </c>
      <c r="L116" s="38">
        <f t="shared" si="32"/>
        <v>34455.21</v>
      </c>
      <c r="M116" s="38">
        <f t="shared" si="33"/>
        <v>3512.41</v>
      </c>
      <c r="N116" s="38">
        <f t="shared" si="34"/>
        <v>37967.620000000003</v>
      </c>
      <c r="O116" s="34"/>
      <c r="P116" s="34"/>
      <c r="Q116" s="36"/>
    </row>
    <row r="117" spans="2:35" s="6" customFormat="1" ht="27.75" customHeight="1" x14ac:dyDescent="0.25">
      <c r="B117" s="47" t="s">
        <v>174</v>
      </c>
      <c r="C117" s="78">
        <v>100327</v>
      </c>
      <c r="D117" s="56" t="s">
        <v>173</v>
      </c>
      <c r="E117" s="59">
        <f>'[1]MEMORIAL DE CÁLCULO'!E101</f>
        <v>254</v>
      </c>
      <c r="F117" s="46" t="s">
        <v>22</v>
      </c>
      <c r="G117" s="42">
        <v>74.290000000000006</v>
      </c>
      <c r="H117" s="40">
        <v>11.35</v>
      </c>
      <c r="I117" s="41">
        <f t="shared" si="30"/>
        <v>85.64</v>
      </c>
      <c r="J117" s="40">
        <f t="shared" si="31"/>
        <v>21752.560000000001</v>
      </c>
      <c r="K117" s="58">
        <v>0.2387</v>
      </c>
      <c r="L117" s="38">
        <f t="shared" si="32"/>
        <v>23373.85</v>
      </c>
      <c r="M117" s="38">
        <f t="shared" si="33"/>
        <v>3571.05</v>
      </c>
      <c r="N117" s="38">
        <f t="shared" si="34"/>
        <v>26944.9</v>
      </c>
      <c r="O117" s="34"/>
      <c r="P117" s="34"/>
      <c r="Q117" s="36"/>
    </row>
    <row r="118" spans="2:35" s="6" customFormat="1" ht="27.75" customHeight="1" x14ac:dyDescent="0.25">
      <c r="B118" s="47" t="s">
        <v>172</v>
      </c>
      <c r="C118" s="78">
        <v>103002</v>
      </c>
      <c r="D118" s="56" t="s">
        <v>171</v>
      </c>
      <c r="E118" s="59">
        <f>'[1]MEMORIAL DE CÁLCULO'!E102</f>
        <v>93</v>
      </c>
      <c r="F118" s="46" t="s">
        <v>168</v>
      </c>
      <c r="G118" s="42">
        <v>243.88</v>
      </c>
      <c r="H118" s="40">
        <v>15.74</v>
      </c>
      <c r="I118" s="41">
        <f t="shared" si="30"/>
        <v>259.62</v>
      </c>
      <c r="J118" s="40">
        <f t="shared" si="31"/>
        <v>24144.66</v>
      </c>
      <c r="K118" s="58">
        <v>0.2387</v>
      </c>
      <c r="L118" s="38">
        <f t="shared" si="32"/>
        <v>28094.76</v>
      </c>
      <c r="M118" s="38">
        <f t="shared" si="33"/>
        <v>1813.23</v>
      </c>
      <c r="N118" s="38">
        <f t="shared" si="34"/>
        <v>29907.99</v>
      </c>
      <c r="O118" s="34"/>
      <c r="P118" s="34"/>
      <c r="Q118" s="36"/>
    </row>
    <row r="119" spans="2:35" s="6" customFormat="1" ht="27.75" customHeight="1" x14ac:dyDescent="0.25">
      <c r="B119" s="47" t="s">
        <v>170</v>
      </c>
      <c r="C119" s="78">
        <v>100327</v>
      </c>
      <c r="D119" s="56" t="s">
        <v>169</v>
      </c>
      <c r="E119" s="59">
        <f>'[1]MEMORIAL DE CÁLCULO'!E103</f>
        <v>17</v>
      </c>
      <c r="F119" s="46" t="s">
        <v>168</v>
      </c>
      <c r="G119" s="42">
        <f>235.66+0.36+1.76</f>
        <v>237.78</v>
      </c>
      <c r="H119" s="40">
        <v>162.30000000000001</v>
      </c>
      <c r="I119" s="41">
        <f t="shared" si="30"/>
        <v>400.08000000000004</v>
      </c>
      <c r="J119" s="40">
        <f t="shared" si="31"/>
        <v>6801.36</v>
      </c>
      <c r="K119" s="58">
        <v>0.2387</v>
      </c>
      <c r="L119" s="38">
        <f t="shared" si="32"/>
        <v>5007.1499999999996</v>
      </c>
      <c r="M119" s="38">
        <f t="shared" si="33"/>
        <v>3417.7</v>
      </c>
      <c r="N119" s="38">
        <f t="shared" si="34"/>
        <v>8424.85</v>
      </c>
      <c r="O119" s="34"/>
      <c r="P119" s="34"/>
      <c r="Q119" s="36"/>
    </row>
    <row r="120" spans="2:35" s="6" customFormat="1" ht="27.75" customHeight="1" x14ac:dyDescent="0.25">
      <c r="B120" s="47" t="s">
        <v>167</v>
      </c>
      <c r="C120" s="78">
        <v>37450</v>
      </c>
      <c r="D120" s="56" t="s">
        <v>166</v>
      </c>
      <c r="E120" s="59">
        <f>'[1]MEMORIAL DE CÁLCULO'!E104</f>
        <v>123</v>
      </c>
      <c r="F120" s="46" t="s">
        <v>22</v>
      </c>
      <c r="G120" s="42">
        <v>38.29</v>
      </c>
      <c r="H120" s="40">
        <v>0</v>
      </c>
      <c r="I120" s="41">
        <f t="shared" si="30"/>
        <v>38.29</v>
      </c>
      <c r="J120" s="40">
        <f t="shared" si="31"/>
        <v>4709.67</v>
      </c>
      <c r="K120" s="58">
        <v>0.2387</v>
      </c>
      <c r="L120" s="38">
        <f t="shared" si="32"/>
        <v>5833.87</v>
      </c>
      <c r="M120" s="38">
        <f t="shared" si="33"/>
        <v>0</v>
      </c>
      <c r="N120" s="38">
        <f t="shared" si="34"/>
        <v>5833.87</v>
      </c>
      <c r="O120" s="34"/>
      <c r="P120" s="34"/>
      <c r="Q120" s="36"/>
    </row>
    <row r="121" spans="2:35" s="6" customFormat="1" ht="45" customHeight="1" x14ac:dyDescent="0.25">
      <c r="B121" s="47" t="s">
        <v>165</v>
      </c>
      <c r="C121" s="78">
        <v>92808</v>
      </c>
      <c r="D121" s="56" t="s">
        <v>164</v>
      </c>
      <c r="E121" s="59">
        <f>'[1]MEMORIAL DE CÁLCULO'!E105</f>
        <v>123</v>
      </c>
      <c r="F121" s="46" t="s">
        <v>22</v>
      </c>
      <c r="G121" s="42">
        <v>23.74</v>
      </c>
      <c r="H121" s="40">
        <v>18.64</v>
      </c>
      <c r="I121" s="41">
        <f t="shared" si="30"/>
        <v>42.379999999999995</v>
      </c>
      <c r="J121" s="40">
        <f t="shared" si="31"/>
        <v>5212.74</v>
      </c>
      <c r="K121" s="58">
        <v>0.2387</v>
      </c>
      <c r="L121" s="38">
        <f t="shared" si="32"/>
        <v>3617.03</v>
      </c>
      <c r="M121" s="38">
        <f t="shared" si="33"/>
        <v>2839.99</v>
      </c>
      <c r="N121" s="38">
        <f t="shared" si="34"/>
        <v>6457.02</v>
      </c>
      <c r="O121" s="34"/>
      <c r="P121" s="34"/>
      <c r="Q121" s="36"/>
    </row>
    <row r="122" spans="2:35" s="6" customFormat="1" ht="27.75" customHeight="1" x14ac:dyDescent="0.25">
      <c r="B122" s="47" t="s">
        <v>163</v>
      </c>
      <c r="C122" s="78">
        <v>102990</v>
      </c>
      <c r="D122" s="56" t="s">
        <v>162</v>
      </c>
      <c r="E122" s="59">
        <f>'[1]MEMORIAL DE CÁLCULO'!E106</f>
        <v>213</v>
      </c>
      <c r="F122" s="46" t="s">
        <v>22</v>
      </c>
      <c r="G122" s="42">
        <v>27.19</v>
      </c>
      <c r="H122" s="40">
        <v>9.2200000000000006</v>
      </c>
      <c r="I122" s="41">
        <f t="shared" si="30"/>
        <v>36.410000000000004</v>
      </c>
      <c r="J122" s="40">
        <f t="shared" si="31"/>
        <v>7755.33</v>
      </c>
      <c r="K122" s="58">
        <v>0.2387</v>
      </c>
      <c r="L122" s="38">
        <f t="shared" si="32"/>
        <v>7173.89</v>
      </c>
      <c r="M122" s="38">
        <f t="shared" si="33"/>
        <v>2432.63</v>
      </c>
      <c r="N122" s="38">
        <f t="shared" si="34"/>
        <v>9606.52</v>
      </c>
      <c r="O122" s="34"/>
      <c r="P122" s="34"/>
      <c r="Q122" s="36"/>
    </row>
    <row r="123" spans="2:35" s="6" customFormat="1" ht="20.25" customHeight="1" x14ac:dyDescent="0.25">
      <c r="B123" s="47" t="s">
        <v>161</v>
      </c>
      <c r="C123" s="78">
        <v>96525</v>
      </c>
      <c r="D123" s="56" t="s">
        <v>160</v>
      </c>
      <c r="E123" s="59">
        <f>'[1]MEMORIAL DE CÁLCULO'!E107</f>
        <v>62.7</v>
      </c>
      <c r="F123" s="46" t="s">
        <v>37</v>
      </c>
      <c r="G123" s="42">
        <v>34.869999999999997</v>
      </c>
      <c r="H123" s="40">
        <v>13.98</v>
      </c>
      <c r="I123" s="41">
        <f t="shared" si="30"/>
        <v>48.849999999999994</v>
      </c>
      <c r="J123" s="40">
        <f t="shared" si="31"/>
        <v>3062.9</v>
      </c>
      <c r="K123" s="58">
        <v>0.2387</v>
      </c>
      <c r="L123" s="38">
        <f t="shared" si="32"/>
        <v>2708.23</v>
      </c>
      <c r="M123" s="38">
        <f t="shared" si="33"/>
        <v>1085.78</v>
      </c>
      <c r="N123" s="38">
        <f t="shared" si="34"/>
        <v>3794.01</v>
      </c>
      <c r="O123" s="34"/>
      <c r="P123" s="34"/>
      <c r="Q123" s="36"/>
    </row>
    <row r="124" spans="2:35" s="6" customFormat="1" ht="27.75" customHeight="1" x14ac:dyDescent="0.25">
      <c r="B124" s="47" t="s">
        <v>159</v>
      </c>
      <c r="C124" s="46">
        <v>101619</v>
      </c>
      <c r="D124" s="60" t="str">
        <f>'[1]MEMORIAL DE CÁLCULO'!D108</f>
        <v>PREPARO DE FUNDO DE VALA COM LARGURA MENOR QUE 1,5 M, COM CAMADA DE BRITA, LANÇAMENTO MANUAL.</v>
      </c>
      <c r="E124" s="59">
        <f>'[1]MEMORIAL DE CÁLCULO'!E108</f>
        <v>16.8</v>
      </c>
      <c r="F124" s="46" t="s">
        <v>37</v>
      </c>
      <c r="G124" s="42">
        <f>109.73+0.16</f>
        <v>109.89</v>
      </c>
      <c r="H124" s="40">
        <v>100.25</v>
      </c>
      <c r="I124" s="41">
        <f t="shared" si="30"/>
        <v>210.14</v>
      </c>
      <c r="J124" s="40">
        <f t="shared" si="31"/>
        <v>3530.35</v>
      </c>
      <c r="K124" s="58">
        <v>0.2387</v>
      </c>
      <c r="L124" s="38">
        <f t="shared" si="32"/>
        <v>2286.83</v>
      </c>
      <c r="M124" s="38">
        <f t="shared" si="33"/>
        <v>2086.2199999999998</v>
      </c>
      <c r="N124" s="38">
        <f t="shared" si="34"/>
        <v>4373.05</v>
      </c>
      <c r="O124" s="34"/>
      <c r="P124" s="34"/>
      <c r="Q124" s="36"/>
    </row>
    <row r="125" spans="2:35" s="6" customFormat="1" ht="20.25" customHeight="1" x14ac:dyDescent="0.25">
      <c r="B125" s="47" t="s">
        <v>158</v>
      </c>
      <c r="C125" s="78">
        <v>96995</v>
      </c>
      <c r="D125" s="56" t="s">
        <v>157</v>
      </c>
      <c r="E125" s="59">
        <f>'[1]MEMORIAL DE CÁLCULO'!E109</f>
        <v>54.005642331190252</v>
      </c>
      <c r="F125" s="46" t="s">
        <v>37</v>
      </c>
      <c r="G125" s="42">
        <v>11.44</v>
      </c>
      <c r="H125" s="40">
        <v>33.74</v>
      </c>
      <c r="I125" s="41">
        <f t="shared" si="30"/>
        <v>45.18</v>
      </c>
      <c r="J125" s="40">
        <f t="shared" si="31"/>
        <v>2439.9699999999998</v>
      </c>
      <c r="K125" s="58">
        <v>0.2387</v>
      </c>
      <c r="L125" s="38">
        <f t="shared" si="32"/>
        <v>765.3</v>
      </c>
      <c r="M125" s="38">
        <f t="shared" si="33"/>
        <v>2257.1</v>
      </c>
      <c r="N125" s="38">
        <f t="shared" si="34"/>
        <v>3022.4</v>
      </c>
      <c r="O125" s="34"/>
      <c r="P125" s="34"/>
      <c r="Q125" s="36"/>
    </row>
    <row r="126" spans="2:35" s="6" customFormat="1" ht="27.75" customHeight="1" x14ac:dyDescent="0.25">
      <c r="B126" s="47" t="s">
        <v>156</v>
      </c>
      <c r="C126" s="46">
        <v>95877</v>
      </c>
      <c r="D126" s="60" t="s">
        <v>155</v>
      </c>
      <c r="E126" s="59">
        <f>'[1]MEMORIAL DE CÁLCULO'!E110</f>
        <v>8.6943576688097508</v>
      </c>
      <c r="F126" s="46" t="s">
        <v>64</v>
      </c>
      <c r="G126" s="42">
        <f>0.59+1.16</f>
        <v>1.75</v>
      </c>
      <c r="H126" s="40">
        <v>0.12</v>
      </c>
      <c r="I126" s="41">
        <f t="shared" si="30"/>
        <v>1.87</v>
      </c>
      <c r="J126" s="40">
        <f t="shared" si="31"/>
        <v>16.260000000000002</v>
      </c>
      <c r="K126" s="58">
        <v>0.2387</v>
      </c>
      <c r="L126" s="38">
        <f t="shared" si="32"/>
        <v>18.850000000000001</v>
      </c>
      <c r="M126" s="38">
        <f t="shared" si="33"/>
        <v>1.29</v>
      </c>
      <c r="N126" s="38">
        <f t="shared" si="34"/>
        <v>20.14</v>
      </c>
      <c r="O126" s="34"/>
      <c r="P126" s="34"/>
      <c r="Q126" s="36"/>
    </row>
    <row r="127" spans="2:35" ht="20.25" customHeight="1" x14ac:dyDescent="0.25">
      <c r="B127" s="107" t="s">
        <v>154</v>
      </c>
      <c r="C127" s="108"/>
      <c r="D127" s="108"/>
      <c r="E127" s="108"/>
      <c r="F127" s="108"/>
      <c r="G127" s="108"/>
      <c r="H127" s="108"/>
      <c r="I127" s="108"/>
      <c r="J127" s="108"/>
      <c r="K127" s="108"/>
      <c r="L127" s="37">
        <f>SUM(L115:L126)</f>
        <v>125853.88999999998</v>
      </c>
      <c r="M127" s="37">
        <f>SUM(M115:M126)</f>
        <v>24183.079999999998</v>
      </c>
      <c r="N127" s="37">
        <f>SUM(N115:N126)</f>
        <v>150036.97</v>
      </c>
      <c r="O127" s="34"/>
      <c r="P127" s="34"/>
      <c r="Q127" s="36"/>
      <c r="R127" s="6"/>
      <c r="S127" s="6"/>
      <c r="T127" s="6"/>
      <c r="U127" s="6"/>
      <c r="V127" s="6"/>
      <c r="W127" s="6"/>
      <c r="X127" s="6"/>
      <c r="Y127" s="6"/>
      <c r="Z127" s="6"/>
      <c r="AA127" s="6"/>
      <c r="AB127" s="6"/>
      <c r="AC127" s="6"/>
      <c r="AD127" s="6"/>
      <c r="AE127" s="6"/>
      <c r="AF127" s="6"/>
      <c r="AG127" s="6"/>
      <c r="AH127" s="6"/>
      <c r="AI127" s="6"/>
    </row>
    <row r="128" spans="2:35" ht="20.25" customHeight="1" x14ac:dyDescent="0.25">
      <c r="B128" s="51">
        <v>13</v>
      </c>
      <c r="C128" s="109" t="s">
        <v>153</v>
      </c>
      <c r="D128" s="109"/>
      <c r="E128" s="109"/>
      <c r="F128" s="109"/>
      <c r="G128" s="109"/>
      <c r="H128" s="109"/>
      <c r="I128" s="109"/>
      <c r="J128" s="109"/>
      <c r="K128" s="109"/>
      <c r="L128" s="109"/>
      <c r="M128" s="109"/>
      <c r="N128" s="110"/>
      <c r="O128" s="34"/>
      <c r="P128" s="34"/>
      <c r="Q128" s="36"/>
      <c r="R128" s="6"/>
      <c r="S128" s="6"/>
      <c r="T128" s="6"/>
      <c r="U128" s="6"/>
      <c r="V128" s="6"/>
      <c r="W128" s="6"/>
      <c r="X128" s="6"/>
      <c r="Y128" s="6"/>
      <c r="Z128" s="6"/>
      <c r="AA128" s="6"/>
      <c r="AB128" s="6"/>
      <c r="AC128" s="6"/>
      <c r="AD128" s="6"/>
      <c r="AE128" s="6"/>
      <c r="AF128" s="6"/>
      <c r="AG128" s="6"/>
      <c r="AH128" s="6"/>
      <c r="AI128" s="6"/>
    </row>
    <row r="129" spans="2:35" ht="27.75" customHeight="1" x14ac:dyDescent="0.25">
      <c r="B129" s="47" t="s">
        <v>152</v>
      </c>
      <c r="C129" s="46">
        <f>'[1]MEMORIAL DE CÁLCULO'!C112</f>
        <v>86931</v>
      </c>
      <c r="D129" s="60" t="str">
        <f>'[1]MEMORIAL DE CÁLCULO'!D112</f>
        <v>VASO SANITÁRIO SIFONADO COM CAIXA ACOPLADA LOUÇA BRANCA, INCLUSO ENGATE FLEXÍVEL EM PLÁSTICO BRANCO, 1/2 X 40CM - FORNECIMENTO E INSTALAÇÃO.</v>
      </c>
      <c r="E129" s="59">
        <f>'[1]MEMORIAL DE CÁLCULO'!E112</f>
        <v>4</v>
      </c>
      <c r="F129" s="46" t="str">
        <f>'[1]MEMORIAL DE CÁLCULO'!F112</f>
        <v xml:space="preserve">UN </v>
      </c>
      <c r="G129" s="54">
        <v>418.31</v>
      </c>
      <c r="H129" s="52">
        <v>23.53</v>
      </c>
      <c r="I129" s="53">
        <f t="shared" ref="I129:I141" si="35">G129+H129</f>
        <v>441.84000000000003</v>
      </c>
      <c r="J129" s="52">
        <f t="shared" ref="J129:J141" si="36">ROUND(I129*E129,2)</f>
        <v>1767.36</v>
      </c>
      <c r="K129" s="39">
        <v>0.2387</v>
      </c>
      <c r="L129" s="38">
        <f t="shared" ref="L129:L141" si="37">ROUND((1+K129)*E129*G129,2)</f>
        <v>2072.64</v>
      </c>
      <c r="M129" s="38">
        <f t="shared" ref="M129:M141" si="38">ROUND((1+K129)*E129*H129,2)</f>
        <v>116.59</v>
      </c>
      <c r="N129" s="38">
        <f t="shared" ref="N129:N141" si="39">ROUND(L129+M129,2)</f>
        <v>2189.23</v>
      </c>
      <c r="O129" s="34"/>
      <c r="P129" s="34"/>
      <c r="Q129" s="36"/>
      <c r="R129" s="6"/>
      <c r="S129" s="6"/>
      <c r="T129" s="6"/>
      <c r="U129" s="6"/>
      <c r="V129" s="6"/>
      <c r="W129" s="6"/>
      <c r="X129" s="6"/>
      <c r="Y129" s="6"/>
      <c r="Z129" s="6"/>
      <c r="AA129" s="6"/>
      <c r="AB129" s="6"/>
      <c r="AC129" s="6"/>
      <c r="AD129" s="6"/>
      <c r="AE129" s="6"/>
      <c r="AF129" s="6"/>
      <c r="AG129" s="6"/>
      <c r="AH129" s="6"/>
      <c r="AI129" s="6"/>
    </row>
    <row r="130" spans="2:35" ht="27.75" customHeight="1" x14ac:dyDescent="0.25">
      <c r="B130" s="47" t="s">
        <v>151</v>
      </c>
      <c r="C130" s="46">
        <f>'[1]MEMORIAL DE CÁLCULO'!C113</f>
        <v>95472</v>
      </c>
      <c r="D130" s="60" t="str">
        <f>'[1]MEMORIAL DE CÁLCULO'!D113</f>
        <v xml:space="preserve">VASO SANITARIO SIFONADO CONVENCIONAL PARA PCD SEM FURO FRONTAL COM LOUÇA BRANCA SEM ASSENTO, INCLUSO CONJUNTO DE LIGAÇÃO PARA BACIA SANITÁRIA AJUSTÁVEL - FORNECIMENTO E INSTALAÇÃO. </v>
      </c>
      <c r="E130" s="59">
        <f>'[1]MEMORIAL DE CÁLCULO'!E113</f>
        <v>2</v>
      </c>
      <c r="F130" s="46" t="str">
        <f>'[1]MEMORIAL DE CÁLCULO'!F113</f>
        <v xml:space="preserve">UN </v>
      </c>
      <c r="G130" s="54">
        <v>653.04999999999995</v>
      </c>
      <c r="H130" s="52">
        <v>28.51</v>
      </c>
      <c r="I130" s="53">
        <f t="shared" si="35"/>
        <v>681.56</v>
      </c>
      <c r="J130" s="52">
        <f t="shared" si="36"/>
        <v>1363.12</v>
      </c>
      <c r="K130" s="39">
        <v>0.2387</v>
      </c>
      <c r="L130" s="38">
        <f t="shared" si="37"/>
        <v>1617.87</v>
      </c>
      <c r="M130" s="38">
        <f t="shared" si="38"/>
        <v>70.63</v>
      </c>
      <c r="N130" s="38">
        <f t="shared" si="39"/>
        <v>1688.5</v>
      </c>
      <c r="O130" s="34"/>
      <c r="P130" s="34"/>
      <c r="Q130" s="36"/>
      <c r="R130" s="6"/>
      <c r="S130" s="6"/>
      <c r="T130" s="6"/>
      <c r="U130" s="6"/>
      <c r="V130" s="6"/>
      <c r="W130" s="6"/>
      <c r="X130" s="6"/>
      <c r="Y130" s="6"/>
      <c r="Z130" s="6"/>
      <c r="AA130" s="6"/>
      <c r="AB130" s="6"/>
      <c r="AC130" s="6"/>
      <c r="AD130" s="6"/>
      <c r="AE130" s="6"/>
      <c r="AF130" s="6"/>
      <c r="AG130" s="6"/>
      <c r="AH130" s="6"/>
      <c r="AI130" s="6"/>
    </row>
    <row r="131" spans="2:35" ht="20.25" customHeight="1" x14ac:dyDescent="0.25">
      <c r="B131" s="47" t="s">
        <v>150</v>
      </c>
      <c r="C131" s="46">
        <f>'[1]MEMORIAL DE CÁLCULO'!C114</f>
        <v>100849</v>
      </c>
      <c r="D131" s="60" t="str">
        <f>'[1]MEMORIAL DE CÁLCULO'!D114</f>
        <v>ASSENTO SANITÁRIO CONVENCIONAL - FORNECIMENTO E INSTALACAO.</v>
      </c>
      <c r="E131" s="59">
        <f>'[1]MEMORIAL DE CÁLCULO'!E114</f>
        <v>6</v>
      </c>
      <c r="F131" s="46" t="str">
        <f>'[1]MEMORIAL DE CÁLCULO'!F114</f>
        <v xml:space="preserve">UN </v>
      </c>
      <c r="G131" s="54">
        <v>42.82</v>
      </c>
      <c r="H131" s="52">
        <v>3.41</v>
      </c>
      <c r="I131" s="53">
        <f t="shared" si="35"/>
        <v>46.230000000000004</v>
      </c>
      <c r="J131" s="52">
        <f t="shared" si="36"/>
        <v>277.38</v>
      </c>
      <c r="K131" s="39">
        <v>0.2387</v>
      </c>
      <c r="L131" s="38">
        <f t="shared" si="37"/>
        <v>318.25</v>
      </c>
      <c r="M131" s="38">
        <f t="shared" si="38"/>
        <v>25.34</v>
      </c>
      <c r="N131" s="38">
        <f t="shared" si="39"/>
        <v>343.59</v>
      </c>
      <c r="O131" s="34"/>
      <c r="P131" s="34"/>
      <c r="Q131" s="36"/>
      <c r="R131" s="6"/>
      <c r="S131" s="6"/>
      <c r="T131" s="6"/>
      <c r="U131" s="6"/>
      <c r="V131" s="6"/>
      <c r="W131" s="6"/>
      <c r="X131" s="6"/>
      <c r="Y131" s="6"/>
      <c r="Z131" s="6"/>
      <c r="AA131" s="6"/>
      <c r="AB131" s="6"/>
      <c r="AC131" s="6"/>
      <c r="AD131" s="6"/>
      <c r="AE131" s="6"/>
      <c r="AF131" s="6"/>
      <c r="AG131" s="6"/>
      <c r="AH131" s="6"/>
      <c r="AI131" s="6"/>
    </row>
    <row r="132" spans="2:35" ht="20.25" customHeight="1" x14ac:dyDescent="0.25">
      <c r="B132" s="47" t="s">
        <v>149</v>
      </c>
      <c r="C132" s="46">
        <f>'[1]MEMORIAL DE CÁLCULO'!C115</f>
        <v>100874</v>
      </c>
      <c r="D132" s="60" t="str">
        <f>'[1]MEMORIAL DE CÁLCULO'!D115</f>
        <v xml:space="preserve">PUXADOR PARA PCD, FIXADO NA PORTA - FORNECIMENTO E INSTALAÇÃO. </v>
      </c>
      <c r="E132" s="59">
        <f>'[1]MEMORIAL DE CÁLCULO'!E115</f>
        <v>2</v>
      </c>
      <c r="F132" s="46" t="str">
        <f>'[1]MEMORIAL DE CÁLCULO'!F115</f>
        <v xml:space="preserve">UN </v>
      </c>
      <c r="G132" s="54">
        <v>321.14999999999998</v>
      </c>
      <c r="H132" s="52">
        <v>21.2</v>
      </c>
      <c r="I132" s="53">
        <f t="shared" si="35"/>
        <v>342.34999999999997</v>
      </c>
      <c r="J132" s="52">
        <f t="shared" si="36"/>
        <v>684.7</v>
      </c>
      <c r="K132" s="39">
        <v>0.2387</v>
      </c>
      <c r="L132" s="38">
        <f t="shared" si="37"/>
        <v>795.62</v>
      </c>
      <c r="M132" s="38">
        <f t="shared" si="38"/>
        <v>52.52</v>
      </c>
      <c r="N132" s="38">
        <f t="shared" si="39"/>
        <v>848.14</v>
      </c>
      <c r="O132" s="34"/>
      <c r="P132" s="34"/>
      <c r="Q132" s="36"/>
      <c r="R132" s="6"/>
      <c r="S132" s="6"/>
      <c r="T132" s="6"/>
      <c r="U132" s="6"/>
      <c r="V132" s="6"/>
      <c r="W132" s="6"/>
      <c r="X132" s="6"/>
      <c r="Y132" s="6"/>
      <c r="Z132" s="6"/>
      <c r="AA132" s="6"/>
      <c r="AB132" s="6"/>
      <c r="AC132" s="6"/>
      <c r="AD132" s="6"/>
      <c r="AE132" s="6"/>
      <c r="AF132" s="6"/>
      <c r="AG132" s="6"/>
      <c r="AH132" s="6"/>
      <c r="AI132" s="6"/>
    </row>
    <row r="133" spans="2:35" ht="27.75" customHeight="1" x14ac:dyDescent="0.25">
      <c r="B133" s="47" t="s">
        <v>148</v>
      </c>
      <c r="C133" s="46">
        <f>'[1]MEMORIAL DE CÁLCULO'!C116</f>
        <v>86904</v>
      </c>
      <c r="D133" s="60" t="str">
        <f>'[1]MEMORIAL DE CÁLCULO'!D116</f>
        <v xml:space="preserve">LAVATÓRIO LOUÇA BRANCA SUSPENSO, 29,5 X 39CM OU EQUIVALENTE, PADRÃO POPULAR - FORNECIMENTO E INSTALAÇÃO. </v>
      </c>
      <c r="E133" s="59">
        <f>'[1]MEMORIAL DE CÁLCULO'!E116</f>
        <v>2</v>
      </c>
      <c r="F133" s="46" t="str">
        <f>'[1]MEMORIAL DE CÁLCULO'!F116</f>
        <v xml:space="preserve">UN </v>
      </c>
      <c r="G133" s="54">
        <v>119.67</v>
      </c>
      <c r="H133" s="52">
        <v>9.57</v>
      </c>
      <c r="I133" s="53">
        <f t="shared" si="35"/>
        <v>129.24</v>
      </c>
      <c r="J133" s="52">
        <f t="shared" si="36"/>
        <v>258.48</v>
      </c>
      <c r="K133" s="39">
        <v>0.2387</v>
      </c>
      <c r="L133" s="38">
        <f t="shared" si="37"/>
        <v>296.47000000000003</v>
      </c>
      <c r="M133" s="38">
        <f t="shared" si="38"/>
        <v>23.71</v>
      </c>
      <c r="N133" s="38">
        <f t="shared" si="39"/>
        <v>320.18</v>
      </c>
      <c r="O133" s="34"/>
      <c r="P133" s="34"/>
      <c r="Q133" s="36"/>
      <c r="R133" s="6"/>
      <c r="S133" s="6"/>
      <c r="T133" s="6"/>
      <c r="U133" s="6"/>
      <c r="V133" s="6"/>
      <c r="W133" s="6"/>
      <c r="X133" s="6"/>
      <c r="Y133" s="6"/>
      <c r="Z133" s="6"/>
      <c r="AA133" s="6"/>
      <c r="AB133" s="6"/>
      <c r="AC133" s="6"/>
      <c r="AD133" s="6"/>
      <c r="AE133" s="6"/>
      <c r="AF133" s="6"/>
      <c r="AG133" s="6"/>
      <c r="AH133" s="6"/>
      <c r="AI133" s="6"/>
    </row>
    <row r="134" spans="2:35" ht="60.75" customHeight="1" x14ac:dyDescent="0.25">
      <c r="B134" s="47" t="s">
        <v>147</v>
      </c>
      <c r="C134" s="46" t="s">
        <v>146</v>
      </c>
      <c r="D134" s="60" t="s">
        <v>145</v>
      </c>
      <c r="E134" s="59">
        <f>'[1]MEMORIAL DE CÁLCULO'!E117</f>
        <v>2</v>
      </c>
      <c r="F134" s="46" t="str">
        <f>'[1]MEMORIAL DE CÁLCULO'!F117</f>
        <v xml:space="preserve">UN </v>
      </c>
      <c r="G134" s="54">
        <f>'[1]COMPOSIÇÕES PRÓPRIAS'!J141</f>
        <v>879.75133999999991</v>
      </c>
      <c r="H134" s="54">
        <f>'[1]COMPOSIÇÕES PRÓPRIAS'!K141</f>
        <v>110.29584000000001</v>
      </c>
      <c r="I134" s="53">
        <f t="shared" si="35"/>
        <v>990.04717999999991</v>
      </c>
      <c r="J134" s="52">
        <f t="shared" si="36"/>
        <v>1980.09</v>
      </c>
      <c r="K134" s="39">
        <v>0.2387</v>
      </c>
      <c r="L134" s="38">
        <f t="shared" si="37"/>
        <v>2179.5</v>
      </c>
      <c r="M134" s="38">
        <f t="shared" si="38"/>
        <v>273.25</v>
      </c>
      <c r="N134" s="38">
        <f t="shared" si="39"/>
        <v>2452.75</v>
      </c>
      <c r="O134" s="34"/>
      <c r="P134" s="34"/>
      <c r="Q134" s="36"/>
      <c r="R134" s="6"/>
      <c r="S134" s="6"/>
      <c r="T134" s="6"/>
      <c r="U134" s="6"/>
      <c r="V134" s="6"/>
      <c r="W134" s="6"/>
      <c r="X134" s="6"/>
      <c r="Y134" s="6"/>
      <c r="Z134" s="6"/>
      <c r="AA134" s="6"/>
      <c r="AB134" s="6"/>
      <c r="AC134" s="6"/>
      <c r="AD134" s="6"/>
      <c r="AE134" s="6"/>
      <c r="AF134" s="6"/>
      <c r="AG134" s="6"/>
      <c r="AH134" s="6"/>
      <c r="AI134" s="6"/>
    </row>
    <row r="135" spans="2:35" ht="27.75" customHeight="1" x14ac:dyDescent="0.25">
      <c r="B135" s="47" t="s">
        <v>144</v>
      </c>
      <c r="C135" s="46">
        <f>'[1]MEMORIAL DE CÁLCULO'!C118</f>
        <v>86906</v>
      </c>
      <c r="D135" s="60" t="str">
        <f>'[1]MEMORIAL DE CÁLCULO'!D118</f>
        <v xml:space="preserve">TORNEIRA CROMADA DE MESA, 1/2 OU 3/4, PARA LAVATÓRIO, PADRÃO POPULAR - FORNECIMENTO E INSTALAÇÃO. </v>
      </c>
      <c r="E135" s="59">
        <f>'[1]MEMORIAL DE CÁLCULO'!E118</f>
        <v>2</v>
      </c>
      <c r="F135" s="46" t="str">
        <f>'[1]MEMORIAL DE CÁLCULO'!F118</f>
        <v xml:space="preserve">UN </v>
      </c>
      <c r="G135" s="54">
        <v>91.03</v>
      </c>
      <c r="H135" s="52">
        <v>2.12</v>
      </c>
      <c r="I135" s="53">
        <f t="shared" si="35"/>
        <v>93.15</v>
      </c>
      <c r="J135" s="52">
        <f t="shared" si="36"/>
        <v>186.3</v>
      </c>
      <c r="K135" s="39">
        <v>0.2387</v>
      </c>
      <c r="L135" s="38">
        <f t="shared" si="37"/>
        <v>225.52</v>
      </c>
      <c r="M135" s="38">
        <f t="shared" si="38"/>
        <v>5.25</v>
      </c>
      <c r="N135" s="38">
        <f t="shared" si="39"/>
        <v>230.77</v>
      </c>
      <c r="O135" s="34"/>
      <c r="P135" s="34"/>
      <c r="Q135" s="36"/>
      <c r="R135" s="6"/>
      <c r="S135" s="6"/>
      <c r="T135" s="6"/>
      <c r="U135" s="6"/>
      <c r="V135" s="6"/>
      <c r="W135" s="6"/>
      <c r="X135" s="6"/>
      <c r="Y135" s="6"/>
      <c r="Z135" s="6"/>
      <c r="AA135" s="6"/>
      <c r="AB135" s="6"/>
      <c r="AC135" s="6"/>
      <c r="AD135" s="6"/>
      <c r="AE135" s="6"/>
      <c r="AF135" s="6"/>
      <c r="AG135" s="6"/>
      <c r="AH135" s="6"/>
      <c r="AI135" s="6"/>
    </row>
    <row r="136" spans="2:35" ht="20.25" customHeight="1" x14ac:dyDescent="0.25">
      <c r="B136" s="47" t="s">
        <v>143</v>
      </c>
      <c r="C136" s="46">
        <f>'[1]MEMORIAL DE CÁLCULO'!C119</f>
        <v>100860</v>
      </c>
      <c r="D136" s="60" t="str">
        <f>'[1]MEMORIAL DE CÁLCULO'!D119</f>
        <v xml:space="preserve">CHUVEIRO ELÉTRICO COMUM CORPO PLÁSTICO, TIPO DUCHA FORNECIMENTO E INSTALAÇÃO. </v>
      </c>
      <c r="E136" s="59">
        <f>'[1]MEMORIAL DE CÁLCULO'!E119</f>
        <v>2</v>
      </c>
      <c r="F136" s="46" t="str">
        <f>'[1]MEMORIAL DE CÁLCULO'!F119</f>
        <v xml:space="preserve">UN </v>
      </c>
      <c r="G136" s="54">
        <v>75.36</v>
      </c>
      <c r="H136" s="52">
        <v>9.98</v>
      </c>
      <c r="I136" s="53">
        <f t="shared" si="35"/>
        <v>85.34</v>
      </c>
      <c r="J136" s="52">
        <f t="shared" si="36"/>
        <v>170.68</v>
      </c>
      <c r="K136" s="39">
        <v>0.2387</v>
      </c>
      <c r="L136" s="38">
        <f t="shared" si="37"/>
        <v>186.7</v>
      </c>
      <c r="M136" s="38">
        <f t="shared" si="38"/>
        <v>24.72</v>
      </c>
      <c r="N136" s="38">
        <f t="shared" si="39"/>
        <v>211.42</v>
      </c>
      <c r="O136" s="34"/>
      <c r="P136" s="34"/>
      <c r="Q136" s="36"/>
      <c r="R136" s="6"/>
      <c r="S136" s="6"/>
      <c r="T136" s="6"/>
      <c r="U136" s="6"/>
      <c r="V136" s="6"/>
      <c r="W136" s="6"/>
      <c r="X136" s="6"/>
      <c r="Y136" s="6"/>
      <c r="Z136" s="6"/>
      <c r="AA136" s="6"/>
      <c r="AB136" s="6"/>
      <c r="AC136" s="6"/>
      <c r="AD136" s="6"/>
      <c r="AE136" s="6"/>
      <c r="AF136" s="6"/>
      <c r="AG136" s="6"/>
      <c r="AH136" s="6"/>
      <c r="AI136" s="6"/>
    </row>
    <row r="137" spans="2:35" ht="27.75" customHeight="1" x14ac:dyDescent="0.25">
      <c r="B137" s="47" t="s">
        <v>142</v>
      </c>
      <c r="C137" s="46">
        <f>'[1]MEMORIAL DE CÁLCULO'!C120</f>
        <v>100868</v>
      </c>
      <c r="D137" s="60" t="str">
        <f>'[1]MEMORIAL DE CÁLCULO'!D120</f>
        <v>BARRA DE APOIO RETA, EM ACO INOX POLIDO, COMPRIMENTO 80 CM, FIXADA NA PAREDE - FORNECIMENTO E INSTALAÇÃO.</v>
      </c>
      <c r="E137" s="59">
        <f>'[1]MEMORIAL DE CÁLCULO'!E120</f>
        <v>4</v>
      </c>
      <c r="F137" s="46" t="str">
        <f>'[1]MEMORIAL DE CÁLCULO'!F120</f>
        <v xml:space="preserve">UN </v>
      </c>
      <c r="G137" s="54">
        <v>361.41</v>
      </c>
      <c r="H137" s="52">
        <v>21.2</v>
      </c>
      <c r="I137" s="53">
        <f t="shared" si="35"/>
        <v>382.61</v>
      </c>
      <c r="J137" s="52">
        <f t="shared" si="36"/>
        <v>1530.44</v>
      </c>
      <c r="K137" s="39">
        <v>0.2387</v>
      </c>
      <c r="L137" s="38">
        <f t="shared" si="37"/>
        <v>1790.71</v>
      </c>
      <c r="M137" s="38">
        <f t="shared" si="38"/>
        <v>105.04</v>
      </c>
      <c r="N137" s="38">
        <f t="shared" si="39"/>
        <v>1895.75</v>
      </c>
      <c r="O137" s="34"/>
      <c r="P137" s="34"/>
      <c r="Q137" s="36"/>
      <c r="R137" s="6"/>
      <c r="S137" s="6"/>
      <c r="T137" s="6"/>
      <c r="U137" s="6"/>
      <c r="V137" s="6"/>
      <c r="W137" s="6"/>
      <c r="X137" s="6"/>
      <c r="Y137" s="6"/>
      <c r="Z137" s="6"/>
      <c r="AA137" s="6"/>
      <c r="AB137" s="6"/>
      <c r="AC137" s="6"/>
      <c r="AD137" s="6"/>
      <c r="AE137" s="6"/>
      <c r="AF137" s="6"/>
      <c r="AG137" s="6"/>
      <c r="AH137" s="6"/>
      <c r="AI137" s="6"/>
    </row>
    <row r="138" spans="2:35" ht="27.75" customHeight="1" x14ac:dyDescent="0.25">
      <c r="B138" s="47" t="s">
        <v>141</v>
      </c>
      <c r="C138" s="46">
        <v>100868</v>
      </c>
      <c r="D138" s="60" t="s">
        <v>140</v>
      </c>
      <c r="E138" s="59">
        <f>'[1]MEMORIAL DE CÁLCULO'!E121</f>
        <v>2</v>
      </c>
      <c r="F138" s="46" t="str">
        <f>'[1]MEMORIAL DE CÁLCULO'!F121</f>
        <v xml:space="preserve">UN </v>
      </c>
      <c r="G138" s="54">
        <v>361.41</v>
      </c>
      <c r="H138" s="52">
        <v>21.2</v>
      </c>
      <c r="I138" s="53">
        <f t="shared" si="35"/>
        <v>382.61</v>
      </c>
      <c r="J138" s="52">
        <f t="shared" si="36"/>
        <v>765.22</v>
      </c>
      <c r="K138" s="39">
        <v>0.2387</v>
      </c>
      <c r="L138" s="38">
        <f t="shared" si="37"/>
        <v>895.36</v>
      </c>
      <c r="M138" s="38">
        <f t="shared" si="38"/>
        <v>52.52</v>
      </c>
      <c r="N138" s="38">
        <f t="shared" si="39"/>
        <v>947.88</v>
      </c>
      <c r="O138" s="34"/>
      <c r="P138" s="34"/>
      <c r="Q138" s="36"/>
      <c r="R138" s="6"/>
      <c r="S138" s="6"/>
      <c r="T138" s="6"/>
      <c r="U138" s="6"/>
      <c r="V138" s="6"/>
      <c r="W138" s="6"/>
      <c r="X138" s="6"/>
      <c r="Y138" s="6"/>
      <c r="Z138" s="6"/>
      <c r="AA138" s="6"/>
      <c r="AB138" s="6"/>
      <c r="AC138" s="6"/>
      <c r="AD138" s="6"/>
      <c r="AE138" s="6"/>
      <c r="AF138" s="6"/>
      <c r="AG138" s="6"/>
      <c r="AH138" s="6"/>
      <c r="AI138" s="6"/>
    </row>
    <row r="139" spans="2:35" ht="31.5" customHeight="1" x14ac:dyDescent="0.25">
      <c r="B139" s="47" t="s">
        <v>139</v>
      </c>
      <c r="C139" s="46">
        <f>'[1]MEMORIAL DE CÁLCULO'!C122</f>
        <v>95547</v>
      </c>
      <c r="D139" s="60" t="str">
        <f>'[1]MEMORIAL DE CÁLCULO'!D122</f>
        <v>SABONETEIRA PLASTICA TIPO DISPENSER PARA SABONETE LIQUIDO COM RESERVATORIO 800 A 1500 ML, INCLUSO FIXAÇÃO.</v>
      </c>
      <c r="E139" s="59">
        <f>'[1]MEMORIAL DE CÁLCULO'!E122</f>
        <v>4</v>
      </c>
      <c r="F139" s="46" t="str">
        <f>'[1]MEMORIAL DE CÁLCULO'!F122</f>
        <v xml:space="preserve">UN </v>
      </c>
      <c r="G139" s="54">
        <v>42.83</v>
      </c>
      <c r="H139" s="54">
        <v>7.06</v>
      </c>
      <c r="I139" s="53">
        <f t="shared" si="35"/>
        <v>49.89</v>
      </c>
      <c r="J139" s="52">
        <f t="shared" si="36"/>
        <v>199.56</v>
      </c>
      <c r="K139" s="39">
        <v>0.2387</v>
      </c>
      <c r="L139" s="38">
        <f t="shared" si="37"/>
        <v>212.21</v>
      </c>
      <c r="M139" s="38">
        <f t="shared" si="38"/>
        <v>34.979999999999997</v>
      </c>
      <c r="N139" s="38">
        <f t="shared" si="39"/>
        <v>247.19</v>
      </c>
      <c r="O139" s="34"/>
      <c r="P139" s="34"/>
      <c r="Q139" s="36"/>
      <c r="R139" s="6"/>
      <c r="S139" s="6"/>
      <c r="T139" s="6"/>
      <c r="U139" s="6"/>
      <c r="V139" s="6"/>
      <c r="W139" s="6"/>
      <c r="X139" s="6"/>
      <c r="Y139" s="6"/>
      <c r="Z139" s="6"/>
      <c r="AA139" s="6"/>
      <c r="AB139" s="6"/>
      <c r="AC139" s="6"/>
      <c r="AD139" s="6"/>
      <c r="AE139" s="6"/>
      <c r="AF139" s="6"/>
      <c r="AG139" s="6"/>
      <c r="AH139" s="6"/>
      <c r="AI139" s="6"/>
    </row>
    <row r="140" spans="2:35" ht="31.5" customHeight="1" x14ac:dyDescent="0.25">
      <c r="B140" s="47" t="s">
        <v>138</v>
      </c>
      <c r="C140" s="46">
        <f>'[1]MEMORIAL DE CÁLCULO'!C123</f>
        <v>95547</v>
      </c>
      <c r="D140" s="60" t="str">
        <f>'[1]MEMORIAL DE CÁLCULO'!D123</f>
        <v>SABONETEIRA PLASTICA TIPO DISPENSER PARA ALCOOL EM GEL COM RESERVATORIO 800 A 1500 ML, INCLUSO FIXAÇÃO.</v>
      </c>
      <c r="E140" s="59">
        <f>'[1]MEMORIAL DE CÁLCULO'!E123</f>
        <v>2</v>
      </c>
      <c r="F140" s="46" t="str">
        <f>'[1]MEMORIAL DE CÁLCULO'!F123</f>
        <v xml:space="preserve">UN </v>
      </c>
      <c r="G140" s="54">
        <v>42.83</v>
      </c>
      <c r="H140" s="54">
        <v>7.06</v>
      </c>
      <c r="I140" s="53">
        <f t="shared" si="35"/>
        <v>49.89</v>
      </c>
      <c r="J140" s="52">
        <f t="shared" si="36"/>
        <v>99.78</v>
      </c>
      <c r="K140" s="39">
        <v>0.2387</v>
      </c>
      <c r="L140" s="38">
        <f t="shared" si="37"/>
        <v>106.11</v>
      </c>
      <c r="M140" s="38">
        <f t="shared" si="38"/>
        <v>17.489999999999998</v>
      </c>
      <c r="N140" s="38">
        <f t="shared" si="39"/>
        <v>123.6</v>
      </c>
      <c r="O140" s="34"/>
      <c r="P140" s="34"/>
      <c r="Q140" s="36"/>
      <c r="R140" s="6"/>
      <c r="S140" s="6"/>
      <c r="T140" s="6"/>
      <c r="U140" s="6"/>
      <c r="V140" s="6"/>
      <c r="W140" s="6"/>
      <c r="X140" s="6"/>
      <c r="Y140" s="6"/>
      <c r="Z140" s="6"/>
      <c r="AA140" s="6"/>
      <c r="AB140" s="6"/>
      <c r="AC140" s="6"/>
      <c r="AD140" s="6"/>
      <c r="AE140" s="6"/>
      <c r="AF140" s="6"/>
      <c r="AG140" s="6"/>
      <c r="AH140" s="6"/>
      <c r="AI140" s="6"/>
    </row>
    <row r="141" spans="2:35" ht="18.75" customHeight="1" x14ac:dyDescent="0.25">
      <c r="B141" s="47" t="s">
        <v>137</v>
      </c>
      <c r="C141" s="46">
        <f>'[1]MEMORIAL DE CÁLCULO'!C124</f>
        <v>95544</v>
      </c>
      <c r="D141" s="60" t="str">
        <f>'[1]MEMORIAL DE CÁLCULO'!D124</f>
        <v>PAPELEIRA DE PAREDE EM PLASTICO, INCLUSO FIXAÇÃO.</v>
      </c>
      <c r="E141" s="59">
        <f>'[1]MEMORIAL DE CÁLCULO'!E124</f>
        <v>4</v>
      </c>
      <c r="F141" s="46" t="str">
        <f>'[1]MEMORIAL DE CÁLCULO'!F124</f>
        <v xml:space="preserve">UN </v>
      </c>
      <c r="G141" s="54">
        <v>73.569999999999993</v>
      </c>
      <c r="H141" s="54">
        <v>7.05</v>
      </c>
      <c r="I141" s="53">
        <f t="shared" si="35"/>
        <v>80.61999999999999</v>
      </c>
      <c r="J141" s="52">
        <f t="shared" si="36"/>
        <v>322.48</v>
      </c>
      <c r="K141" s="39">
        <v>0.2387</v>
      </c>
      <c r="L141" s="38">
        <f t="shared" si="37"/>
        <v>364.52</v>
      </c>
      <c r="M141" s="38">
        <f t="shared" si="38"/>
        <v>34.93</v>
      </c>
      <c r="N141" s="38">
        <f t="shared" si="39"/>
        <v>399.45</v>
      </c>
      <c r="O141" s="34"/>
      <c r="P141" s="34"/>
      <c r="Q141" s="36"/>
      <c r="R141" s="6"/>
      <c r="S141" s="6"/>
      <c r="T141" s="6"/>
      <c r="U141" s="6"/>
      <c r="V141" s="6"/>
      <c r="W141" s="6"/>
      <c r="X141" s="6"/>
      <c r="Y141" s="6"/>
      <c r="Z141" s="6"/>
      <c r="AA141" s="6"/>
      <c r="AB141" s="6"/>
      <c r="AC141" s="6"/>
      <c r="AD141" s="6"/>
      <c r="AE141" s="6"/>
      <c r="AF141" s="6"/>
      <c r="AG141" s="6"/>
      <c r="AH141" s="6"/>
      <c r="AI141" s="6"/>
    </row>
    <row r="142" spans="2:35" ht="20.25" customHeight="1" x14ac:dyDescent="0.25">
      <c r="B142" s="107" t="s">
        <v>136</v>
      </c>
      <c r="C142" s="108"/>
      <c r="D142" s="108"/>
      <c r="E142" s="108"/>
      <c r="F142" s="108"/>
      <c r="G142" s="108"/>
      <c r="H142" s="108"/>
      <c r="I142" s="108"/>
      <c r="J142" s="108"/>
      <c r="K142" s="108"/>
      <c r="L142" s="37">
        <f>SUM(L129:L141)</f>
        <v>11061.480000000001</v>
      </c>
      <c r="M142" s="37">
        <f>SUM(M129:M141)</f>
        <v>836.96999999999991</v>
      </c>
      <c r="N142" s="37">
        <f>SUM(N129:N141)</f>
        <v>11898.45</v>
      </c>
      <c r="O142" s="34"/>
      <c r="P142" s="34"/>
      <c r="Q142" s="36"/>
      <c r="R142" s="6"/>
      <c r="S142" s="6"/>
      <c r="T142" s="6"/>
      <c r="U142" s="6"/>
      <c r="V142" s="6"/>
      <c r="W142" s="6"/>
      <c r="X142" s="6"/>
      <c r="Y142" s="6"/>
      <c r="Z142" s="6"/>
      <c r="AA142" s="6"/>
      <c r="AB142" s="6"/>
      <c r="AC142" s="6"/>
      <c r="AD142" s="6"/>
      <c r="AE142" s="6"/>
      <c r="AF142" s="6"/>
      <c r="AG142" s="6"/>
      <c r="AH142" s="6"/>
      <c r="AI142" s="6"/>
    </row>
    <row r="143" spans="2:35" ht="20.25" customHeight="1" x14ac:dyDescent="0.25">
      <c r="B143" s="51">
        <v>14</v>
      </c>
      <c r="C143" s="109" t="s">
        <v>135</v>
      </c>
      <c r="D143" s="109"/>
      <c r="E143" s="109"/>
      <c r="F143" s="109"/>
      <c r="G143" s="109"/>
      <c r="H143" s="109"/>
      <c r="I143" s="109"/>
      <c r="J143" s="109"/>
      <c r="K143" s="109"/>
      <c r="L143" s="109"/>
      <c r="M143" s="109"/>
      <c r="N143" s="110"/>
      <c r="O143" s="34"/>
      <c r="P143" s="34"/>
      <c r="Q143" s="36"/>
      <c r="R143" s="6"/>
      <c r="S143" s="6"/>
      <c r="T143" s="6"/>
      <c r="U143" s="6"/>
      <c r="V143" s="6"/>
      <c r="W143" s="6"/>
      <c r="X143" s="6"/>
      <c r="Y143" s="6"/>
      <c r="Z143" s="6"/>
      <c r="AA143" s="6"/>
      <c r="AB143" s="6"/>
      <c r="AC143" s="6"/>
      <c r="AD143" s="6"/>
      <c r="AE143" s="6"/>
      <c r="AF143" s="6"/>
      <c r="AG143" s="6"/>
      <c r="AH143" s="6"/>
      <c r="AI143" s="6"/>
    </row>
    <row r="144" spans="2:35" ht="36" customHeight="1" x14ac:dyDescent="0.25">
      <c r="B144" s="47">
        <v>14.1</v>
      </c>
      <c r="C144" s="46">
        <f>'[1]MEMORIAL DE CÁLCULO'!C126</f>
        <v>91785</v>
      </c>
      <c r="D144" s="60" t="str">
        <f>'[1]MEMORIAL DE CÁLCULO'!D126</f>
        <v>TUBOS DE PVC, SOLDÁVEL, ÁGUA FRIA, DN 25 MM (INSTALADO EM RAMAL, SUB-RAMAL, RAMAL DE DISTRIBUIÇÃO OU PRUMADA), INCLUSIVE CONEXÕES, CORTES E FIXAÇÕES</v>
      </c>
      <c r="E144" s="59">
        <f>'[1]MEMORIAL DE CÁLCULO'!E126</f>
        <v>50</v>
      </c>
      <c r="F144" s="46" t="str">
        <f>'[1]MEMORIAL DE CÁLCULO'!F126</f>
        <v>m</v>
      </c>
      <c r="G144" s="54">
        <v>19.63</v>
      </c>
      <c r="H144" s="52">
        <v>23.69</v>
      </c>
      <c r="I144" s="53">
        <f>G144+H144</f>
        <v>43.32</v>
      </c>
      <c r="J144" s="52">
        <f>ROUND(I144*E144,2)</f>
        <v>2166</v>
      </c>
      <c r="K144" s="39">
        <v>0.2387</v>
      </c>
      <c r="L144" s="38">
        <f>ROUND((1+K144)*E144*G144,2)</f>
        <v>1215.78</v>
      </c>
      <c r="M144" s="38">
        <f>ROUND((1+K144)*E144*H144,2)</f>
        <v>1467.24</v>
      </c>
      <c r="N144" s="38">
        <f>ROUND(L144+M144,2)</f>
        <v>2683.02</v>
      </c>
      <c r="O144" s="34"/>
      <c r="P144" s="34"/>
      <c r="Q144" s="36"/>
      <c r="R144" s="6"/>
      <c r="S144" s="6"/>
      <c r="T144" s="6"/>
      <c r="U144" s="6"/>
      <c r="V144" s="6"/>
      <c r="W144" s="6"/>
      <c r="X144" s="6"/>
      <c r="Y144" s="6"/>
      <c r="Z144" s="6"/>
      <c r="AA144" s="6"/>
      <c r="AB144" s="6"/>
      <c r="AC144" s="6"/>
      <c r="AD144" s="6"/>
      <c r="AE144" s="6"/>
      <c r="AF144" s="6"/>
      <c r="AG144" s="6"/>
      <c r="AH144" s="6"/>
      <c r="AI144" s="6"/>
    </row>
    <row r="145" spans="2:35" s="6" customFormat="1" ht="20.25" customHeight="1" x14ac:dyDescent="0.25">
      <c r="B145" s="47" t="s">
        <v>134</v>
      </c>
      <c r="C145" s="46" t="s">
        <v>133</v>
      </c>
      <c r="D145" s="60" t="str">
        <f>'[1]MEMORIAL DE CÁLCULO'!D127</f>
        <v xml:space="preserve">EXECUÇÃO DE RESERVATÓRIO DE ÁGUA (1000 LITROS) </v>
      </c>
      <c r="E145" s="59">
        <f>'[1]MEMORIAL DE CÁLCULO'!E127</f>
        <v>1</v>
      </c>
      <c r="F145" s="46" t="str">
        <f>'[1]MEMORIAL DE CÁLCULO'!F127</f>
        <v xml:space="preserve">UN </v>
      </c>
      <c r="G145" s="42">
        <f>'[1]COMPOSIÇÕES PRÓPRIAS'!J153</f>
        <v>884.84999999999991</v>
      </c>
      <c r="H145" s="42">
        <f>'[1]COMPOSIÇÕES PRÓPRIAS'!K153</f>
        <v>6.3133099999999995</v>
      </c>
      <c r="I145" s="41">
        <f>G145+H145</f>
        <v>891.16330999999991</v>
      </c>
      <c r="J145" s="40">
        <f>ROUND(I145*E145,2)</f>
        <v>891.16</v>
      </c>
      <c r="K145" s="39">
        <v>0.2387</v>
      </c>
      <c r="L145" s="38">
        <f>ROUND((1+K145)*E145*G145,2)</f>
        <v>1096.06</v>
      </c>
      <c r="M145" s="38">
        <f>ROUND((1+K145)*E145*H145,2)</f>
        <v>7.82</v>
      </c>
      <c r="N145" s="38">
        <f>ROUND(L145+M145,2)</f>
        <v>1103.8800000000001</v>
      </c>
      <c r="O145" s="34"/>
      <c r="P145" s="34"/>
      <c r="Q145" s="36"/>
    </row>
    <row r="146" spans="2:35" s="6" customFormat="1" ht="34.5" customHeight="1" x14ac:dyDescent="0.25">
      <c r="B146" s="47">
        <v>15.1</v>
      </c>
      <c r="C146" s="46">
        <v>95634</v>
      </c>
      <c r="D146" s="60" t="s">
        <v>132</v>
      </c>
      <c r="E146" s="59">
        <f>'[1]MEMORIAL DE CÁLCULO'!E128</f>
        <v>1</v>
      </c>
      <c r="F146" s="46" t="str">
        <f>'[1]MEMORIAL DE CÁLCULO'!F128</f>
        <v xml:space="preserve">UN </v>
      </c>
      <c r="G146" s="42">
        <v>139.51</v>
      </c>
      <c r="H146" s="42">
        <v>48.78</v>
      </c>
      <c r="I146" s="41">
        <f>G146+H146</f>
        <v>188.29</v>
      </c>
      <c r="J146" s="40">
        <f>ROUND(I146*E146,2)</f>
        <v>188.29</v>
      </c>
      <c r="K146" s="39">
        <v>0.2387</v>
      </c>
      <c r="L146" s="38">
        <f>ROUND((1+K146)*E146*G146,2)</f>
        <v>172.81</v>
      </c>
      <c r="M146" s="38">
        <f>ROUND((1+K146)*E146*H146,2)</f>
        <v>60.42</v>
      </c>
      <c r="N146" s="38">
        <f>ROUND(L146+M146,2)</f>
        <v>233.23</v>
      </c>
      <c r="O146" s="34"/>
      <c r="P146" s="34"/>
      <c r="Q146" s="36"/>
    </row>
    <row r="147" spans="2:35" s="6" customFormat="1" ht="20.25" customHeight="1" x14ac:dyDescent="0.25">
      <c r="B147" s="47" t="s">
        <v>131</v>
      </c>
      <c r="C147" s="46">
        <f>'[1]MEMORIAL DE CÁLCULO'!C129</f>
        <v>95673</v>
      </c>
      <c r="D147" s="60" t="str">
        <f>'[1]MEMORIAL DE CÁLCULO'!D129</f>
        <v>HIDRÔMETRO DN 20 (½), 1,5 M³/H FORNECIMENTO E INSTALAÇÃO.</v>
      </c>
      <c r="E147" s="59">
        <f>'[1]MEMORIAL DE CÁLCULO'!E129</f>
        <v>1</v>
      </c>
      <c r="F147" s="46" t="str">
        <f>'[1]MEMORIAL DE CÁLCULO'!F129</f>
        <v xml:space="preserve">UN </v>
      </c>
      <c r="G147" s="42">
        <v>159.19</v>
      </c>
      <c r="H147" s="42">
        <v>15.05</v>
      </c>
      <c r="I147" s="41">
        <f>G147+H147</f>
        <v>174.24</v>
      </c>
      <c r="J147" s="40">
        <f>ROUND(I147*E147,2)</f>
        <v>174.24</v>
      </c>
      <c r="K147" s="39">
        <v>0.2387</v>
      </c>
      <c r="L147" s="38">
        <f>ROUND((1+K147)*E147*G147,2)</f>
        <v>197.19</v>
      </c>
      <c r="M147" s="38">
        <f>ROUND((1+K147)*E147*H147,2)</f>
        <v>18.64</v>
      </c>
      <c r="N147" s="38">
        <f>ROUND(L147+M147,2)</f>
        <v>215.83</v>
      </c>
      <c r="O147" s="34"/>
      <c r="P147" s="34"/>
      <c r="Q147" s="36"/>
    </row>
    <row r="148" spans="2:35" s="6" customFormat="1" ht="20.25" customHeight="1" x14ac:dyDescent="0.25">
      <c r="B148" s="47">
        <v>16.100000000000001</v>
      </c>
      <c r="C148" s="46" t="s">
        <v>130</v>
      </c>
      <c r="D148" s="60" t="str">
        <f>'[1]MEMORIAL DE CÁLCULO'!D130</f>
        <v>CAIXA PARA ENTRADA DE ÁGUA PADRÃO CORSAN INCLUSIVE MURETA</v>
      </c>
      <c r="E148" s="59">
        <f>'[1]MEMORIAL DE CÁLCULO'!E130</f>
        <v>1</v>
      </c>
      <c r="F148" s="46" t="str">
        <f>'[1]MEMORIAL DE CÁLCULO'!F130</f>
        <v xml:space="preserve">UN </v>
      </c>
      <c r="G148" s="42">
        <f>'[1]COMPOSIÇÕES PRÓPRIAS'!J161</f>
        <v>262.3</v>
      </c>
      <c r="H148" s="42">
        <f>'[1]COMPOSIÇÕES PRÓPRIAS'!K161</f>
        <v>102.90280000000001</v>
      </c>
      <c r="I148" s="41">
        <f>G148+H148</f>
        <v>365.20280000000002</v>
      </c>
      <c r="J148" s="40">
        <f>ROUND(I148*E148,2)</f>
        <v>365.2</v>
      </c>
      <c r="K148" s="39">
        <v>0.2387</v>
      </c>
      <c r="L148" s="38">
        <f>ROUND((1+K148)*E148*G148,2)</f>
        <v>324.91000000000003</v>
      </c>
      <c r="M148" s="38">
        <f>ROUND((1+K148)*E148*H148,2)</f>
        <v>127.47</v>
      </c>
      <c r="N148" s="38">
        <f>ROUND(L148+M148,2)</f>
        <v>452.38</v>
      </c>
      <c r="O148" s="34"/>
      <c r="P148" s="34"/>
      <c r="Q148" s="36"/>
    </row>
    <row r="149" spans="2:35" ht="20.25" customHeight="1" x14ac:dyDescent="0.25">
      <c r="B149" s="107" t="s">
        <v>129</v>
      </c>
      <c r="C149" s="108"/>
      <c r="D149" s="108"/>
      <c r="E149" s="108"/>
      <c r="F149" s="108"/>
      <c r="G149" s="108"/>
      <c r="H149" s="108"/>
      <c r="I149" s="108"/>
      <c r="J149" s="108"/>
      <c r="K149" s="108"/>
      <c r="L149" s="37">
        <f>SUM(L144:L148)</f>
        <v>3006.75</v>
      </c>
      <c r="M149" s="37">
        <f>SUM(M144:M148)</f>
        <v>1681.5900000000001</v>
      </c>
      <c r="N149" s="37">
        <f>SUM(N144:N148)</f>
        <v>4688.34</v>
      </c>
      <c r="O149" s="34"/>
      <c r="P149" s="34"/>
      <c r="Q149" s="36"/>
      <c r="R149" s="6"/>
      <c r="S149" s="6"/>
      <c r="T149" s="6"/>
      <c r="U149" s="6"/>
      <c r="V149" s="6"/>
      <c r="W149" s="6"/>
      <c r="X149" s="6"/>
      <c r="Y149" s="6"/>
      <c r="Z149" s="6"/>
      <c r="AA149" s="6"/>
      <c r="AB149" s="6"/>
      <c r="AC149" s="6"/>
      <c r="AD149" s="6"/>
      <c r="AE149" s="6"/>
      <c r="AF149" s="6"/>
      <c r="AG149" s="6"/>
      <c r="AH149" s="6"/>
      <c r="AI149" s="6"/>
    </row>
    <row r="150" spans="2:35" ht="20.25" customHeight="1" x14ac:dyDescent="0.25">
      <c r="B150" s="51">
        <v>15</v>
      </c>
      <c r="C150" s="109" t="s">
        <v>128</v>
      </c>
      <c r="D150" s="109"/>
      <c r="E150" s="109"/>
      <c r="F150" s="109"/>
      <c r="G150" s="109"/>
      <c r="H150" s="109"/>
      <c r="I150" s="109"/>
      <c r="J150" s="109"/>
      <c r="K150" s="109"/>
      <c r="L150" s="109"/>
      <c r="M150" s="109"/>
      <c r="N150" s="110"/>
      <c r="O150" s="34"/>
      <c r="P150" s="34"/>
      <c r="Q150" s="36"/>
      <c r="R150" s="6"/>
      <c r="S150" s="6"/>
      <c r="T150" s="6"/>
      <c r="U150" s="6"/>
      <c r="V150" s="6"/>
      <c r="W150" s="6"/>
      <c r="X150" s="6"/>
      <c r="Y150" s="6"/>
      <c r="Z150" s="6"/>
      <c r="AA150" s="6"/>
      <c r="AB150" s="6"/>
      <c r="AC150" s="6"/>
      <c r="AD150" s="6"/>
      <c r="AE150" s="6"/>
      <c r="AF150" s="6"/>
      <c r="AG150" s="6"/>
      <c r="AH150" s="6"/>
      <c r="AI150" s="6"/>
    </row>
    <row r="151" spans="2:35" ht="48.75" customHeight="1" x14ac:dyDescent="0.25">
      <c r="B151" s="47" t="s">
        <v>127</v>
      </c>
      <c r="C151" s="46">
        <v>91794</v>
      </c>
      <c r="D151" s="60" t="str">
        <f>'[1]MEMORIAL DE CÁLCULO'!D133</f>
        <v>SERVIÇO DE INSTALAÇÃO DE TUBO PVC, SÉRIE N, ESGOTO PREDIAL, DN 75 MM, (INST. EM RAMAL DE DESCARGA, RAMAL DE ESG. SANITÁRIO, PRUMADA DE ESG. SANITÁRIO OU VENTILAÇÃO), INCL. CONEXÕES, CORTES E FIXAÇÕES , P/ PRÉDIOS.</v>
      </c>
      <c r="E151" s="59">
        <f>'[1]MEMORIAL DE CÁLCULO'!E133</f>
        <v>14</v>
      </c>
      <c r="F151" s="46" t="str">
        <f>'[1]MEMORIAL DE CÁLCULO'!F133</f>
        <v>m</v>
      </c>
      <c r="G151" s="54">
        <v>34.880000000000003</v>
      </c>
      <c r="H151" s="52">
        <v>10.85</v>
      </c>
      <c r="I151" s="53">
        <f t="shared" ref="I151:I158" si="40">G151+H151</f>
        <v>45.730000000000004</v>
      </c>
      <c r="J151" s="52">
        <f t="shared" ref="J151:J158" si="41">ROUND(I151*E151,2)</f>
        <v>640.22</v>
      </c>
      <c r="K151" s="39">
        <v>0.2387</v>
      </c>
      <c r="L151" s="38">
        <f t="shared" ref="L151:L158" si="42">ROUND((1+K151)*E151*G151,2)</f>
        <v>604.88</v>
      </c>
      <c r="M151" s="38">
        <f t="shared" ref="M151:M158" si="43">ROUND((1+K151)*E151*H151,2)</f>
        <v>188.16</v>
      </c>
      <c r="N151" s="38">
        <f t="shared" ref="N151:N158" si="44">ROUND(L151+M151,2)</f>
        <v>793.04</v>
      </c>
      <c r="O151" s="34"/>
      <c r="P151" s="34"/>
      <c r="Q151" s="36"/>
      <c r="R151" s="6"/>
      <c r="S151" s="6"/>
      <c r="T151" s="6"/>
      <c r="U151" s="6"/>
      <c r="V151" s="6"/>
      <c r="W151" s="6"/>
      <c r="X151" s="6"/>
      <c r="Y151" s="6"/>
      <c r="Z151" s="6"/>
      <c r="AA151" s="6"/>
      <c r="AB151" s="6"/>
      <c r="AC151" s="6"/>
      <c r="AD151" s="6"/>
      <c r="AE151" s="6"/>
      <c r="AF151" s="6"/>
      <c r="AG151" s="6"/>
      <c r="AH151" s="6"/>
      <c r="AI151" s="6"/>
    </row>
    <row r="152" spans="2:35" ht="48.75" customHeight="1" x14ac:dyDescent="0.25">
      <c r="B152" s="47" t="s">
        <v>126</v>
      </c>
      <c r="C152" s="46">
        <f>'[1]MEMORIAL DE CÁLCULO'!C134</f>
        <v>91795</v>
      </c>
      <c r="D152" s="60" t="str">
        <f>'[1]MEMORIAL DE CÁLCULO'!D134</f>
        <v>SERVIÇO DE INSTALAÇÃO DE TUBO PVC, SÉRIE N, ESGOTO PREDIAL, 100 MM (INST. RAMAL DESCARGA, RAMAL DE ESG. SANIT., PRUMADA ESG. SANIT., VENTILAÇÃO OU SUB-COLETOR AÉREO), INCL. CONEXÕES E CORTES, FIXAÇÕES, P/ PRÉDIOS.</v>
      </c>
      <c r="E152" s="59">
        <f>'[1]MEMORIAL DE CÁLCULO'!E134</f>
        <v>25</v>
      </c>
      <c r="F152" s="46" t="str">
        <f>'[1]MEMORIAL DE CÁLCULO'!F134</f>
        <v>m</v>
      </c>
      <c r="G152" s="54">
        <v>53.82</v>
      </c>
      <c r="H152" s="52">
        <v>21.47</v>
      </c>
      <c r="I152" s="53">
        <f t="shared" si="40"/>
        <v>75.289999999999992</v>
      </c>
      <c r="J152" s="52">
        <f t="shared" si="41"/>
        <v>1882.25</v>
      </c>
      <c r="K152" s="39">
        <v>0.2387</v>
      </c>
      <c r="L152" s="38">
        <f t="shared" si="42"/>
        <v>1666.67</v>
      </c>
      <c r="M152" s="38">
        <f t="shared" si="43"/>
        <v>664.87</v>
      </c>
      <c r="N152" s="38">
        <f t="shared" si="44"/>
        <v>2331.54</v>
      </c>
      <c r="O152" s="34"/>
      <c r="P152" s="34"/>
      <c r="Q152" s="36"/>
      <c r="R152" s="6"/>
      <c r="S152" s="6"/>
      <c r="T152" s="6"/>
      <c r="U152" s="6"/>
      <c r="V152" s="6"/>
      <c r="W152" s="6"/>
      <c r="X152" s="6"/>
      <c r="Y152" s="6"/>
      <c r="Z152" s="6"/>
      <c r="AA152" s="6"/>
      <c r="AB152" s="6"/>
      <c r="AC152" s="6"/>
      <c r="AD152" s="6"/>
      <c r="AE152" s="6"/>
      <c r="AF152" s="6"/>
      <c r="AG152" s="6"/>
      <c r="AH152" s="6"/>
      <c r="AI152" s="6"/>
    </row>
    <row r="153" spans="2:35" ht="57" customHeight="1" x14ac:dyDescent="0.25">
      <c r="B153" s="47" t="s">
        <v>125</v>
      </c>
      <c r="C153" s="46">
        <f>'[1]MEMORIAL DE CÁLCULO'!C135</f>
        <v>97906</v>
      </c>
      <c r="D153" s="60" t="str">
        <f>'[1]MEMORIAL DE CÁLCULO'!D135</f>
        <v>CAIXA DE INPEÇÃO EM ALVENARIA DE TIJOLOS (9X14X19) COM DIMENSÕES INTERNAS DE 60X60X60, REVESTIDA INTERNAMENTO COM BARRA LISA (CIMENTO E AREIA, TRAÇO 1:4). E=2,0 CM, COM TAMPA PRÉ-MOLDADA DE CONCRETO E FUNDO DE CONCRETO 15 MPA (MATERIAL E EXECUÇÃO).</v>
      </c>
      <c r="E153" s="59">
        <f>'[1]MEMORIAL DE CÁLCULO'!E135</f>
        <v>2</v>
      </c>
      <c r="F153" s="46" t="str">
        <f>'[1]MEMORIAL DE CÁLCULO'!F135</f>
        <v xml:space="preserve">UN </v>
      </c>
      <c r="G153" s="54">
        <v>237.78</v>
      </c>
      <c r="H153" s="52">
        <v>162.30000000000001</v>
      </c>
      <c r="I153" s="53">
        <f t="shared" si="40"/>
        <v>400.08000000000004</v>
      </c>
      <c r="J153" s="52">
        <f t="shared" si="41"/>
        <v>800.16</v>
      </c>
      <c r="K153" s="39">
        <v>0.2387</v>
      </c>
      <c r="L153" s="38">
        <f t="shared" si="42"/>
        <v>589.08000000000004</v>
      </c>
      <c r="M153" s="38">
        <f t="shared" si="43"/>
        <v>402.08</v>
      </c>
      <c r="N153" s="38">
        <f t="shared" si="44"/>
        <v>991.16</v>
      </c>
      <c r="O153" s="34"/>
      <c r="P153" s="34"/>
      <c r="Q153" s="36"/>
      <c r="R153" s="6"/>
      <c r="S153" s="6"/>
      <c r="T153" s="6"/>
      <c r="U153" s="6"/>
      <c r="V153" s="6"/>
      <c r="W153" s="6"/>
      <c r="X153" s="6"/>
      <c r="Y153" s="6"/>
      <c r="Z153" s="6"/>
      <c r="AA153" s="6"/>
      <c r="AB153" s="6"/>
      <c r="AC153" s="6"/>
      <c r="AD153" s="6"/>
      <c r="AE153" s="6"/>
      <c r="AF153" s="6"/>
      <c r="AG153" s="6"/>
      <c r="AH153" s="6"/>
      <c r="AI153" s="6"/>
    </row>
    <row r="154" spans="2:35" ht="27.75" customHeight="1" x14ac:dyDescent="0.25">
      <c r="B154" s="47" t="s">
        <v>124</v>
      </c>
      <c r="C154" s="46">
        <f>'[1]MEMORIAL DE CÁLCULO'!C136</f>
        <v>89707</v>
      </c>
      <c r="D154" s="60" t="str">
        <f>'[1]MEMORIAL DE CÁLCULO'!D136</f>
        <v>CAIXA SIFONADA, PVC, DN 100 X 100 X 50 MM, JUNTA ELÁSTICA, FORNECIDA E INSTALADA EM RAMAL DE DESCARGA OU EM RAMAL DE ESGOTO SANITÁRIO.</v>
      </c>
      <c r="E154" s="59">
        <f>'[1]MEMORIAL DE CÁLCULO'!E136</f>
        <v>5</v>
      </c>
      <c r="F154" s="46" t="str">
        <f>'[1]MEMORIAL DE CÁLCULO'!F136</f>
        <v xml:space="preserve">UN </v>
      </c>
      <c r="G154" s="54">
        <v>34</v>
      </c>
      <c r="H154" s="52">
        <v>8.2799999999999994</v>
      </c>
      <c r="I154" s="53">
        <f t="shared" si="40"/>
        <v>42.28</v>
      </c>
      <c r="J154" s="52">
        <f t="shared" si="41"/>
        <v>211.4</v>
      </c>
      <c r="K154" s="39">
        <v>0.2387</v>
      </c>
      <c r="L154" s="38">
        <f t="shared" si="42"/>
        <v>210.58</v>
      </c>
      <c r="M154" s="38">
        <f t="shared" si="43"/>
        <v>51.28</v>
      </c>
      <c r="N154" s="38">
        <f t="shared" si="44"/>
        <v>261.86</v>
      </c>
      <c r="O154" s="34"/>
      <c r="P154" s="34"/>
      <c r="Q154" s="36"/>
      <c r="R154" s="6"/>
      <c r="S154" s="6"/>
      <c r="T154" s="6"/>
      <c r="U154" s="6"/>
      <c r="V154" s="6"/>
      <c r="W154" s="6"/>
      <c r="X154" s="6"/>
      <c r="Y154" s="6"/>
      <c r="Z154" s="6"/>
      <c r="AA154" s="6"/>
      <c r="AB154" s="6"/>
      <c r="AC154" s="6"/>
      <c r="AD154" s="6"/>
      <c r="AE154" s="6"/>
      <c r="AF154" s="6"/>
      <c r="AG154" s="6"/>
      <c r="AH154" s="6"/>
      <c r="AI154" s="6"/>
    </row>
    <row r="155" spans="2:35" ht="27.75" customHeight="1" x14ac:dyDescent="0.25">
      <c r="B155" s="47" t="s">
        <v>123</v>
      </c>
      <c r="C155" s="80">
        <v>98053</v>
      </c>
      <c r="D155" s="79" t="s">
        <v>122</v>
      </c>
      <c r="E155" s="59">
        <f>'[1]MEMORIAL DE CÁLCULO'!E137</f>
        <v>1</v>
      </c>
      <c r="F155" s="46" t="str">
        <f>'[1]MEMORIAL DE CÁLCULO'!F137</f>
        <v xml:space="preserve">UN </v>
      </c>
      <c r="G155" s="54">
        <v>2455.7399999999998</v>
      </c>
      <c r="H155" s="52">
        <v>258.5</v>
      </c>
      <c r="I155" s="53">
        <f t="shared" si="40"/>
        <v>2714.24</v>
      </c>
      <c r="J155" s="52">
        <f t="shared" si="41"/>
        <v>2714.24</v>
      </c>
      <c r="K155" s="39">
        <v>0.2387</v>
      </c>
      <c r="L155" s="38">
        <f t="shared" si="42"/>
        <v>3041.93</v>
      </c>
      <c r="M155" s="38">
        <f t="shared" si="43"/>
        <v>320.2</v>
      </c>
      <c r="N155" s="38">
        <f t="shared" si="44"/>
        <v>3362.13</v>
      </c>
      <c r="O155" s="34"/>
      <c r="P155" s="34"/>
      <c r="Q155" s="36"/>
      <c r="R155" s="6"/>
      <c r="S155" s="6"/>
      <c r="T155" s="6"/>
      <c r="U155" s="6"/>
      <c r="V155" s="6"/>
      <c r="W155" s="6"/>
      <c r="X155" s="6"/>
      <c r="Y155" s="6"/>
      <c r="Z155" s="6"/>
      <c r="AA155" s="6"/>
      <c r="AB155" s="6"/>
      <c r="AC155" s="6"/>
      <c r="AD155" s="6"/>
      <c r="AE155" s="6"/>
      <c r="AF155" s="6"/>
      <c r="AG155" s="6"/>
      <c r="AH155" s="6"/>
      <c r="AI155" s="6"/>
    </row>
    <row r="156" spans="2:35" ht="27.75" customHeight="1" x14ac:dyDescent="0.25">
      <c r="B156" s="47" t="s">
        <v>121</v>
      </c>
      <c r="C156" s="80">
        <v>98059</v>
      </c>
      <c r="D156" s="79" t="s">
        <v>120</v>
      </c>
      <c r="E156" s="59">
        <f>'[1]MEMORIAL DE CÁLCULO'!E138</f>
        <v>1</v>
      </c>
      <c r="F156" s="46" t="str">
        <f>'[1]MEMORIAL DE CÁLCULO'!F138</f>
        <v xml:space="preserve">UN </v>
      </c>
      <c r="G156" s="54">
        <v>3272.15</v>
      </c>
      <c r="H156" s="52">
        <v>336.93</v>
      </c>
      <c r="I156" s="53">
        <f t="shared" si="40"/>
        <v>3609.08</v>
      </c>
      <c r="J156" s="52">
        <f t="shared" si="41"/>
        <v>3609.08</v>
      </c>
      <c r="K156" s="39">
        <v>0.2387</v>
      </c>
      <c r="L156" s="38">
        <f t="shared" si="42"/>
        <v>4053.21</v>
      </c>
      <c r="M156" s="38">
        <f t="shared" si="43"/>
        <v>417.36</v>
      </c>
      <c r="N156" s="38">
        <f t="shared" si="44"/>
        <v>4470.57</v>
      </c>
      <c r="O156" s="34"/>
      <c r="P156" s="34"/>
      <c r="Q156" s="36"/>
      <c r="R156" s="6"/>
      <c r="S156" s="6"/>
      <c r="T156" s="6"/>
      <c r="U156" s="6"/>
      <c r="V156" s="6"/>
      <c r="W156" s="6"/>
      <c r="X156" s="6"/>
      <c r="Y156" s="6"/>
      <c r="Z156" s="6"/>
      <c r="AA156" s="6"/>
      <c r="AB156" s="6"/>
      <c r="AC156" s="6"/>
      <c r="AD156" s="6"/>
      <c r="AE156" s="6"/>
      <c r="AF156" s="6"/>
      <c r="AG156" s="6"/>
      <c r="AH156" s="6"/>
      <c r="AI156" s="6"/>
    </row>
    <row r="157" spans="2:35" ht="27.75" customHeight="1" x14ac:dyDescent="0.25">
      <c r="B157" s="47" t="s">
        <v>119</v>
      </c>
      <c r="C157" s="80">
        <v>98064</v>
      </c>
      <c r="D157" s="79" t="s">
        <v>118</v>
      </c>
      <c r="E157" s="59">
        <f>'[1]MEMORIAL DE CÁLCULO'!E139</f>
        <v>1</v>
      </c>
      <c r="F157" s="46" t="str">
        <f>'[1]MEMORIAL DE CÁLCULO'!F139</f>
        <v xml:space="preserve">UN </v>
      </c>
      <c r="G157" s="54">
        <v>4874.18</v>
      </c>
      <c r="H157" s="52">
        <v>342.35</v>
      </c>
      <c r="I157" s="53">
        <f t="shared" si="40"/>
        <v>5216.5300000000007</v>
      </c>
      <c r="J157" s="52">
        <f t="shared" si="41"/>
        <v>5216.53</v>
      </c>
      <c r="K157" s="39">
        <v>0.2387</v>
      </c>
      <c r="L157" s="38">
        <f t="shared" si="42"/>
        <v>6037.65</v>
      </c>
      <c r="M157" s="38">
        <f t="shared" si="43"/>
        <v>424.07</v>
      </c>
      <c r="N157" s="38">
        <f t="shared" si="44"/>
        <v>6461.72</v>
      </c>
      <c r="O157" s="34"/>
      <c r="P157" s="34"/>
      <c r="Q157" s="36"/>
      <c r="R157" s="6"/>
      <c r="S157" s="6"/>
      <c r="T157" s="6"/>
      <c r="U157" s="6"/>
      <c r="V157" s="6"/>
      <c r="W157" s="6"/>
      <c r="X157" s="6"/>
      <c r="Y157" s="6"/>
      <c r="Z157" s="6"/>
      <c r="AA157" s="6"/>
      <c r="AB157" s="6"/>
      <c r="AC157" s="6"/>
      <c r="AD157" s="6"/>
      <c r="AE157" s="6"/>
      <c r="AF157" s="6"/>
      <c r="AG157" s="6"/>
      <c r="AH157" s="6"/>
      <c r="AI157" s="6"/>
    </row>
    <row r="158" spans="2:35" ht="27.75" customHeight="1" x14ac:dyDescent="0.25">
      <c r="B158" s="47" t="s">
        <v>117</v>
      </c>
      <c r="C158" s="46">
        <f>'[1]MEMORIAL DE CÁLCULO'!C140</f>
        <v>89495</v>
      </c>
      <c r="D158" s="60" t="str">
        <f>'[1]MEMORIAL DE CÁLCULO'!D140</f>
        <v xml:space="preserve">RALO SIFONADO, PVC, DN 100 X 40 MM, JUNTA SOLDÁVEL, FORNECIDO E INSTALADO EM RAMAIS DE ENCAMINHAMENTO DE ÁGUA PLUVIAL. </v>
      </c>
      <c r="E158" s="59">
        <f>'[1]MEMORIAL DE CÁLCULO'!E140</f>
        <v>2</v>
      </c>
      <c r="F158" s="46" t="str">
        <f>'[1]MEMORIAL DE CÁLCULO'!F140</f>
        <v xml:space="preserve">UN </v>
      </c>
      <c r="G158" s="54">
        <v>15.23</v>
      </c>
      <c r="H158" s="52">
        <v>3.7</v>
      </c>
      <c r="I158" s="53">
        <f t="shared" si="40"/>
        <v>18.93</v>
      </c>
      <c r="J158" s="52">
        <f t="shared" si="41"/>
        <v>37.86</v>
      </c>
      <c r="K158" s="39">
        <v>0.2387</v>
      </c>
      <c r="L158" s="38">
        <f t="shared" si="42"/>
        <v>37.729999999999997</v>
      </c>
      <c r="M158" s="38">
        <f t="shared" si="43"/>
        <v>9.17</v>
      </c>
      <c r="N158" s="38">
        <f t="shared" si="44"/>
        <v>46.9</v>
      </c>
      <c r="O158" s="34"/>
      <c r="P158" s="34"/>
      <c r="Q158" s="36"/>
      <c r="R158" s="6"/>
      <c r="S158" s="6"/>
      <c r="T158" s="6"/>
      <c r="U158" s="6"/>
      <c r="V158" s="6"/>
      <c r="W158" s="6"/>
      <c r="X158" s="6"/>
      <c r="Y158" s="6"/>
      <c r="Z158" s="6"/>
      <c r="AA158" s="6"/>
      <c r="AB158" s="6"/>
      <c r="AC158" s="6"/>
      <c r="AD158" s="6"/>
      <c r="AE158" s="6"/>
      <c r="AF158" s="6"/>
      <c r="AG158" s="6"/>
      <c r="AH158" s="6"/>
      <c r="AI158" s="6"/>
    </row>
    <row r="159" spans="2:35" ht="20.25" customHeight="1" x14ac:dyDescent="0.25">
      <c r="B159" s="107" t="s">
        <v>116</v>
      </c>
      <c r="C159" s="108"/>
      <c r="D159" s="108"/>
      <c r="E159" s="108"/>
      <c r="F159" s="108"/>
      <c r="G159" s="108"/>
      <c r="H159" s="108"/>
      <c r="I159" s="108"/>
      <c r="J159" s="108"/>
      <c r="K159" s="108"/>
      <c r="L159" s="37">
        <f>SUM(L151:L158)</f>
        <v>16241.729999999998</v>
      </c>
      <c r="M159" s="37">
        <f>SUM(M151:M158)</f>
        <v>2477.19</v>
      </c>
      <c r="N159" s="37">
        <f>SUM(N151:N158)</f>
        <v>18718.920000000002</v>
      </c>
      <c r="O159" s="34"/>
      <c r="P159" s="34"/>
      <c r="Q159" s="36"/>
      <c r="R159" s="6"/>
      <c r="S159" s="6"/>
      <c r="T159" s="6"/>
      <c r="U159" s="6"/>
      <c r="V159" s="6"/>
      <c r="W159" s="6"/>
      <c r="X159" s="6"/>
      <c r="Y159" s="6"/>
      <c r="Z159" s="6"/>
      <c r="AA159" s="6"/>
      <c r="AB159" s="6"/>
      <c r="AC159" s="6"/>
      <c r="AD159" s="6"/>
      <c r="AE159" s="6"/>
      <c r="AF159" s="6"/>
      <c r="AG159" s="6"/>
      <c r="AH159" s="6"/>
      <c r="AI159" s="6"/>
    </row>
    <row r="160" spans="2:35" ht="20.25" customHeight="1" x14ac:dyDescent="0.25">
      <c r="B160" s="51">
        <v>16</v>
      </c>
      <c r="C160" s="109" t="s">
        <v>115</v>
      </c>
      <c r="D160" s="109"/>
      <c r="E160" s="109"/>
      <c r="F160" s="109"/>
      <c r="G160" s="109"/>
      <c r="H160" s="109"/>
      <c r="I160" s="109"/>
      <c r="J160" s="109"/>
      <c r="K160" s="109"/>
      <c r="L160" s="109"/>
      <c r="M160" s="109"/>
      <c r="N160" s="110"/>
      <c r="O160" s="34"/>
      <c r="P160" s="34"/>
      <c r="Q160" s="36"/>
      <c r="R160" s="6"/>
      <c r="S160" s="6"/>
      <c r="T160" s="6"/>
      <c r="U160" s="6"/>
      <c r="V160" s="6"/>
      <c r="W160" s="6"/>
      <c r="X160" s="6"/>
      <c r="Y160" s="6"/>
      <c r="Z160" s="6"/>
      <c r="AA160" s="6"/>
      <c r="AB160" s="6"/>
      <c r="AC160" s="6"/>
      <c r="AD160" s="6"/>
      <c r="AE160" s="6"/>
      <c r="AF160" s="6"/>
      <c r="AG160" s="6"/>
      <c r="AH160" s="6"/>
      <c r="AI160" s="6"/>
    </row>
    <row r="161" spans="2:35" ht="18" customHeight="1" x14ac:dyDescent="0.25">
      <c r="B161" s="67" t="s">
        <v>75</v>
      </c>
      <c r="C161" s="46">
        <v>96526</v>
      </c>
      <c r="D161" s="65" t="s">
        <v>114</v>
      </c>
      <c r="E161" s="84">
        <f>'[1]MEMORIAL DE CÁLCULO'!E142</f>
        <v>5</v>
      </c>
      <c r="F161" s="55" t="s">
        <v>37</v>
      </c>
      <c r="G161" s="54">
        <v>62.92</v>
      </c>
      <c r="H161" s="52">
        <v>203.03</v>
      </c>
      <c r="I161" s="53">
        <f t="shared" ref="I161:I188" si="45">G161+H161</f>
        <v>265.95</v>
      </c>
      <c r="J161" s="52">
        <f t="shared" ref="J161:J188" si="46">ROUND(I161*E161,2)</f>
        <v>1329.75</v>
      </c>
      <c r="K161" s="39">
        <v>0.2387</v>
      </c>
      <c r="L161" s="38">
        <f t="shared" ref="L161:L188" si="47">ROUND((1+K161)*E161*G161,2)</f>
        <v>389.7</v>
      </c>
      <c r="M161" s="38">
        <f t="shared" ref="M161:M188" si="48">ROUND((1+K161)*E161*H161,2)</f>
        <v>1257.47</v>
      </c>
      <c r="N161" s="38">
        <f t="shared" ref="N161:N188" si="49">ROUND(L161+M161,2)</f>
        <v>1647.17</v>
      </c>
      <c r="O161" s="34"/>
      <c r="P161" s="34"/>
      <c r="Q161" s="36"/>
      <c r="R161" s="6"/>
      <c r="S161" s="6"/>
      <c r="T161" s="6"/>
      <c r="U161" s="6"/>
      <c r="V161" s="6"/>
      <c r="W161" s="6"/>
      <c r="X161" s="6"/>
      <c r="Y161" s="6"/>
      <c r="Z161" s="6"/>
      <c r="AA161" s="6"/>
      <c r="AB161" s="6"/>
      <c r="AC161" s="6"/>
      <c r="AD161" s="6"/>
      <c r="AE161" s="6"/>
      <c r="AF161" s="6"/>
      <c r="AG161" s="6"/>
      <c r="AH161" s="6"/>
      <c r="AI161" s="6"/>
    </row>
    <row r="162" spans="2:35" ht="27.75" customHeight="1" x14ac:dyDescent="0.25">
      <c r="B162" s="67" t="s">
        <v>74</v>
      </c>
      <c r="C162" s="83">
        <v>93142</v>
      </c>
      <c r="D162" s="82" t="s">
        <v>113</v>
      </c>
      <c r="E162" s="64">
        <v>6</v>
      </c>
      <c r="F162" s="55" t="s">
        <v>14</v>
      </c>
      <c r="G162" s="54">
        <v>97.41</v>
      </c>
      <c r="H162" s="52">
        <v>89.81</v>
      </c>
      <c r="I162" s="53">
        <f t="shared" si="45"/>
        <v>187.22</v>
      </c>
      <c r="J162" s="52">
        <f t="shared" si="46"/>
        <v>1123.32</v>
      </c>
      <c r="K162" s="39">
        <v>0.2387</v>
      </c>
      <c r="L162" s="38">
        <f t="shared" si="47"/>
        <v>723.97</v>
      </c>
      <c r="M162" s="38">
        <f t="shared" si="48"/>
        <v>667.49</v>
      </c>
      <c r="N162" s="38">
        <f t="shared" si="49"/>
        <v>1391.46</v>
      </c>
      <c r="O162" s="34"/>
      <c r="P162" s="34"/>
      <c r="Q162" s="36"/>
      <c r="R162" s="6"/>
      <c r="S162" s="6"/>
      <c r="T162" s="6"/>
      <c r="U162" s="6"/>
      <c r="V162" s="6"/>
      <c r="W162" s="6"/>
      <c r="X162" s="6"/>
      <c r="Y162" s="6"/>
      <c r="Z162" s="6"/>
      <c r="AA162" s="6"/>
      <c r="AB162" s="6"/>
      <c r="AC162" s="6"/>
      <c r="AD162" s="6"/>
      <c r="AE162" s="6"/>
      <c r="AF162" s="6"/>
      <c r="AG162" s="6"/>
      <c r="AH162" s="6"/>
      <c r="AI162" s="6"/>
    </row>
    <row r="163" spans="2:35" ht="27.75" customHeight="1" x14ac:dyDescent="0.25">
      <c r="B163" s="67" t="s">
        <v>73</v>
      </c>
      <c r="C163" s="83">
        <v>93137</v>
      </c>
      <c r="D163" s="82" t="s">
        <v>112</v>
      </c>
      <c r="E163" s="64">
        <v>19</v>
      </c>
      <c r="F163" s="55" t="s">
        <v>14</v>
      </c>
      <c r="G163" s="54">
        <v>80.72</v>
      </c>
      <c r="H163" s="52">
        <v>82</v>
      </c>
      <c r="I163" s="53">
        <f t="shared" si="45"/>
        <v>162.72</v>
      </c>
      <c r="J163" s="52">
        <f t="shared" si="46"/>
        <v>3091.68</v>
      </c>
      <c r="K163" s="39">
        <v>0.2387</v>
      </c>
      <c r="L163" s="38">
        <f t="shared" si="47"/>
        <v>1899.77</v>
      </c>
      <c r="M163" s="38">
        <f t="shared" si="48"/>
        <v>1929.89</v>
      </c>
      <c r="N163" s="38">
        <f t="shared" si="49"/>
        <v>3829.66</v>
      </c>
      <c r="O163" s="34"/>
      <c r="P163" s="34"/>
      <c r="Q163" s="36"/>
      <c r="R163" s="6"/>
      <c r="S163" s="6"/>
      <c r="T163" s="6"/>
      <c r="U163" s="6"/>
      <c r="V163" s="6"/>
      <c r="W163" s="6"/>
      <c r="X163" s="6"/>
      <c r="Y163" s="6"/>
      <c r="Z163" s="6"/>
      <c r="AA163" s="6"/>
      <c r="AB163" s="6"/>
      <c r="AC163" s="6"/>
      <c r="AD163" s="6"/>
      <c r="AE163" s="6"/>
      <c r="AF163" s="6"/>
      <c r="AG163" s="6"/>
      <c r="AH163" s="6"/>
      <c r="AI163" s="6"/>
    </row>
    <row r="164" spans="2:35" ht="27.75" customHeight="1" x14ac:dyDescent="0.25">
      <c r="B164" s="67" t="s">
        <v>72</v>
      </c>
      <c r="C164" s="66" t="s">
        <v>111</v>
      </c>
      <c r="D164" s="65" t="s">
        <v>110</v>
      </c>
      <c r="E164" s="44">
        <f>70+28</f>
        <v>98</v>
      </c>
      <c r="F164" s="55" t="s">
        <v>22</v>
      </c>
      <c r="G164" s="54">
        <f>'[1]COMPOSIÇÕES PRÓPRIAS'!J171</f>
        <v>37.487569999999998</v>
      </c>
      <c r="H164" s="54">
        <f>'[1]COMPOSIÇÕES PRÓPRIAS'!K171</f>
        <v>3.3610500000000001</v>
      </c>
      <c r="I164" s="53">
        <f t="shared" si="45"/>
        <v>40.848619999999997</v>
      </c>
      <c r="J164" s="52">
        <f t="shared" si="46"/>
        <v>4003.16</v>
      </c>
      <c r="K164" s="39">
        <v>0.2387</v>
      </c>
      <c r="L164" s="38">
        <f t="shared" si="47"/>
        <v>4550.71</v>
      </c>
      <c r="M164" s="38">
        <f t="shared" si="48"/>
        <v>408.01</v>
      </c>
      <c r="N164" s="38">
        <f t="shared" si="49"/>
        <v>4958.72</v>
      </c>
      <c r="O164" s="34"/>
      <c r="P164" s="34"/>
      <c r="Q164" s="36"/>
      <c r="R164" s="6"/>
      <c r="S164" s="6"/>
      <c r="T164" s="6"/>
      <c r="U164" s="6"/>
      <c r="V164" s="6"/>
      <c r="W164" s="6"/>
      <c r="X164" s="6"/>
      <c r="Y164" s="6"/>
      <c r="Z164" s="6"/>
      <c r="AA164" s="6"/>
      <c r="AB164" s="6"/>
      <c r="AC164" s="6"/>
      <c r="AD164" s="6"/>
      <c r="AE164" s="6"/>
      <c r="AF164" s="6"/>
      <c r="AG164" s="6"/>
      <c r="AH164" s="6"/>
      <c r="AI164" s="6"/>
    </row>
    <row r="165" spans="2:35" ht="27.75" customHeight="1" x14ac:dyDescent="0.25">
      <c r="B165" s="67" t="s">
        <v>71</v>
      </c>
      <c r="C165" s="66">
        <v>97667</v>
      </c>
      <c r="D165" s="65" t="s">
        <v>109</v>
      </c>
      <c r="E165" s="81">
        <v>50</v>
      </c>
      <c r="F165" s="55" t="s">
        <v>22</v>
      </c>
      <c r="G165" s="54">
        <v>9.92</v>
      </c>
      <c r="H165" s="52">
        <v>2.2599999999999998</v>
      </c>
      <c r="I165" s="53">
        <f t="shared" si="45"/>
        <v>12.18</v>
      </c>
      <c r="J165" s="52">
        <f t="shared" si="46"/>
        <v>609</v>
      </c>
      <c r="K165" s="39">
        <v>0.2387</v>
      </c>
      <c r="L165" s="38">
        <f t="shared" si="47"/>
        <v>614.4</v>
      </c>
      <c r="M165" s="38">
        <f t="shared" si="48"/>
        <v>139.97</v>
      </c>
      <c r="N165" s="38">
        <f t="shared" si="49"/>
        <v>754.37</v>
      </c>
      <c r="O165" s="34"/>
      <c r="P165" s="34"/>
      <c r="Q165" s="36"/>
      <c r="R165" s="6"/>
      <c r="S165" s="6"/>
      <c r="T165" s="6"/>
      <c r="U165" s="6"/>
      <c r="V165" s="6"/>
      <c r="W165" s="6"/>
      <c r="X165" s="6"/>
      <c r="Y165" s="6"/>
      <c r="Z165" s="6"/>
      <c r="AA165" s="6"/>
      <c r="AB165" s="6"/>
      <c r="AC165" s="6"/>
      <c r="AD165" s="6"/>
      <c r="AE165" s="6"/>
      <c r="AF165" s="6"/>
      <c r="AG165" s="6"/>
      <c r="AH165" s="6"/>
      <c r="AI165" s="6"/>
    </row>
    <row r="166" spans="2:35" ht="27.75" customHeight="1" x14ac:dyDescent="0.25">
      <c r="B166" s="67" t="s">
        <v>70</v>
      </c>
      <c r="C166" s="78" t="s">
        <v>108</v>
      </c>
      <c r="D166" s="72" t="s">
        <v>97</v>
      </c>
      <c r="E166" s="44">
        <f>75+44</f>
        <v>119</v>
      </c>
      <c r="F166" s="55" t="s">
        <v>22</v>
      </c>
      <c r="G166" s="54">
        <f>'[1]COMPOSIÇÕES PRÓPRIAS'!J181</f>
        <v>15.900969999999999</v>
      </c>
      <c r="H166" s="54">
        <f>'[1]COMPOSIÇÕES PRÓPRIAS'!K181</f>
        <v>1.746</v>
      </c>
      <c r="I166" s="53">
        <f t="shared" si="45"/>
        <v>17.64697</v>
      </c>
      <c r="J166" s="52">
        <f t="shared" si="46"/>
        <v>2099.9899999999998</v>
      </c>
      <c r="K166" s="39">
        <v>0.2387</v>
      </c>
      <c r="L166" s="38">
        <f t="shared" si="47"/>
        <v>2343.89</v>
      </c>
      <c r="M166" s="38">
        <f t="shared" si="48"/>
        <v>257.37</v>
      </c>
      <c r="N166" s="38">
        <f t="shared" si="49"/>
        <v>2601.2600000000002</v>
      </c>
      <c r="O166" s="34"/>
      <c r="P166" s="34"/>
      <c r="Q166" s="36"/>
      <c r="R166" s="6"/>
      <c r="S166" s="6"/>
      <c r="T166" s="6"/>
      <c r="U166" s="6"/>
      <c r="V166" s="6"/>
      <c r="W166" s="6"/>
      <c r="X166" s="6"/>
      <c r="Y166" s="6"/>
      <c r="Z166" s="6"/>
      <c r="AA166" s="6"/>
      <c r="AB166" s="6"/>
      <c r="AC166" s="6"/>
      <c r="AD166" s="6"/>
      <c r="AE166" s="6"/>
      <c r="AF166" s="6"/>
      <c r="AG166" s="6"/>
      <c r="AH166" s="6"/>
      <c r="AI166" s="6"/>
    </row>
    <row r="167" spans="2:35" ht="27.75" customHeight="1" x14ac:dyDescent="0.25">
      <c r="B167" s="67" t="s">
        <v>69</v>
      </c>
      <c r="C167" s="78">
        <v>91924</v>
      </c>
      <c r="D167" s="72" t="s">
        <v>107</v>
      </c>
      <c r="E167" s="44">
        <f>(36+12)*3</f>
        <v>144</v>
      </c>
      <c r="F167" s="55" t="s">
        <v>22</v>
      </c>
      <c r="G167" s="54">
        <v>1.85</v>
      </c>
      <c r="H167" s="52">
        <v>0.82</v>
      </c>
      <c r="I167" s="53">
        <f t="shared" si="45"/>
        <v>2.67</v>
      </c>
      <c r="J167" s="52">
        <f t="shared" si="46"/>
        <v>384.48</v>
      </c>
      <c r="K167" s="39">
        <v>0.2387</v>
      </c>
      <c r="L167" s="38">
        <f t="shared" si="47"/>
        <v>329.99</v>
      </c>
      <c r="M167" s="38">
        <f t="shared" si="48"/>
        <v>146.27000000000001</v>
      </c>
      <c r="N167" s="38">
        <f t="shared" si="49"/>
        <v>476.26</v>
      </c>
      <c r="O167" s="34"/>
      <c r="P167" s="34"/>
      <c r="Q167" s="36"/>
      <c r="R167" s="6"/>
      <c r="S167" s="6"/>
      <c r="T167" s="6"/>
      <c r="U167" s="6"/>
      <c r="V167" s="6"/>
      <c r="W167" s="6"/>
      <c r="X167" s="6"/>
      <c r="Y167" s="6"/>
      <c r="Z167" s="6"/>
      <c r="AA167" s="6"/>
      <c r="AB167" s="6"/>
      <c r="AC167" s="6"/>
      <c r="AD167" s="6"/>
      <c r="AE167" s="6"/>
      <c r="AF167" s="6"/>
      <c r="AG167" s="6"/>
      <c r="AH167" s="6"/>
      <c r="AI167" s="6"/>
    </row>
    <row r="168" spans="2:35" ht="27.75" customHeight="1" x14ac:dyDescent="0.25">
      <c r="B168" s="67" t="s">
        <v>68</v>
      </c>
      <c r="C168" s="78">
        <v>91926</v>
      </c>
      <c r="D168" s="72" t="s">
        <v>106</v>
      </c>
      <c r="E168" s="44">
        <f>17*3</f>
        <v>51</v>
      </c>
      <c r="F168" s="55" t="s">
        <v>22</v>
      </c>
      <c r="G168" s="54">
        <v>2.88</v>
      </c>
      <c r="H168" s="52">
        <v>1.01</v>
      </c>
      <c r="I168" s="53">
        <f t="shared" si="45"/>
        <v>3.8899999999999997</v>
      </c>
      <c r="J168" s="52">
        <f t="shared" si="46"/>
        <v>198.39</v>
      </c>
      <c r="K168" s="39">
        <v>0.2387</v>
      </c>
      <c r="L168" s="38">
        <f t="shared" si="47"/>
        <v>181.94</v>
      </c>
      <c r="M168" s="38">
        <f t="shared" si="48"/>
        <v>63.81</v>
      </c>
      <c r="N168" s="38">
        <f t="shared" si="49"/>
        <v>245.75</v>
      </c>
      <c r="O168" s="34"/>
      <c r="P168" s="34"/>
      <c r="Q168" s="36"/>
      <c r="R168" s="6"/>
      <c r="S168" s="6"/>
      <c r="T168" s="6"/>
      <c r="U168" s="6"/>
      <c r="V168" s="6"/>
      <c r="W168" s="6"/>
      <c r="X168" s="6"/>
      <c r="Y168" s="6"/>
      <c r="Z168" s="6"/>
      <c r="AA168" s="6"/>
      <c r="AB168" s="6"/>
      <c r="AC168" s="6"/>
      <c r="AD168" s="6"/>
      <c r="AE168" s="6"/>
      <c r="AF168" s="6"/>
      <c r="AG168" s="6"/>
      <c r="AH168" s="6"/>
      <c r="AI168" s="6"/>
    </row>
    <row r="169" spans="2:35" ht="27.75" customHeight="1" x14ac:dyDescent="0.25">
      <c r="B169" s="67" t="s">
        <v>67</v>
      </c>
      <c r="C169" s="66">
        <v>91998</v>
      </c>
      <c r="D169" s="65" t="s">
        <v>105</v>
      </c>
      <c r="E169" s="64">
        <v>6</v>
      </c>
      <c r="F169" s="55" t="s">
        <v>14</v>
      </c>
      <c r="G169" s="54">
        <v>10.199999999999999</v>
      </c>
      <c r="H169" s="54">
        <v>7.93</v>
      </c>
      <c r="I169" s="53">
        <f t="shared" si="45"/>
        <v>18.13</v>
      </c>
      <c r="J169" s="52">
        <f t="shared" si="46"/>
        <v>108.78</v>
      </c>
      <c r="K169" s="39">
        <v>0.2387</v>
      </c>
      <c r="L169" s="38">
        <f t="shared" si="47"/>
        <v>75.81</v>
      </c>
      <c r="M169" s="38">
        <f t="shared" si="48"/>
        <v>58.94</v>
      </c>
      <c r="N169" s="38">
        <f t="shared" si="49"/>
        <v>134.75</v>
      </c>
      <c r="O169" s="34"/>
      <c r="P169" s="34"/>
      <c r="Q169" s="36"/>
      <c r="R169" s="6"/>
      <c r="S169" s="6"/>
      <c r="T169" s="6"/>
      <c r="U169" s="6"/>
      <c r="V169" s="6"/>
      <c r="W169" s="6"/>
      <c r="X169" s="6"/>
      <c r="Y169" s="6"/>
      <c r="Z169" s="6"/>
      <c r="AA169" s="6"/>
      <c r="AB169" s="6"/>
      <c r="AC169" s="6"/>
      <c r="AD169" s="6"/>
      <c r="AE169" s="6"/>
      <c r="AF169" s="6"/>
      <c r="AG169" s="6"/>
      <c r="AH169" s="6"/>
      <c r="AI169" s="6"/>
    </row>
    <row r="170" spans="2:35" ht="20.25" customHeight="1" x14ac:dyDescent="0.25">
      <c r="B170" s="67" t="s">
        <v>66</v>
      </c>
      <c r="C170" s="66">
        <v>93668</v>
      </c>
      <c r="D170" s="65" t="s">
        <v>104</v>
      </c>
      <c r="E170" s="64">
        <v>2</v>
      </c>
      <c r="F170" s="55" t="s">
        <v>14</v>
      </c>
      <c r="G170" s="54">
        <v>67.61</v>
      </c>
      <c r="H170" s="54">
        <v>4.8</v>
      </c>
      <c r="I170" s="53">
        <f t="shared" si="45"/>
        <v>72.41</v>
      </c>
      <c r="J170" s="52">
        <f t="shared" si="46"/>
        <v>144.82</v>
      </c>
      <c r="K170" s="39">
        <v>0.2387</v>
      </c>
      <c r="L170" s="38">
        <f t="shared" si="47"/>
        <v>167.5</v>
      </c>
      <c r="M170" s="38">
        <f t="shared" si="48"/>
        <v>11.89</v>
      </c>
      <c r="N170" s="38">
        <f t="shared" si="49"/>
        <v>179.39</v>
      </c>
      <c r="O170" s="34"/>
      <c r="P170" s="34"/>
      <c r="Q170" s="36"/>
      <c r="R170" s="6"/>
      <c r="S170" s="6"/>
      <c r="T170" s="6"/>
      <c r="U170" s="6"/>
      <c r="V170" s="6"/>
      <c r="W170" s="6"/>
      <c r="X170" s="6"/>
      <c r="Y170" s="6"/>
      <c r="Z170" s="6"/>
      <c r="AA170" s="6"/>
      <c r="AB170" s="6"/>
      <c r="AC170" s="6"/>
      <c r="AD170" s="6"/>
      <c r="AE170" s="6"/>
      <c r="AF170" s="6"/>
      <c r="AG170" s="6"/>
      <c r="AH170" s="6"/>
      <c r="AI170" s="6"/>
    </row>
    <row r="171" spans="2:35" ht="20.25" customHeight="1" x14ac:dyDescent="0.25">
      <c r="B171" s="67" t="s">
        <v>65</v>
      </c>
      <c r="C171" s="66">
        <v>93669</v>
      </c>
      <c r="D171" s="65" t="s">
        <v>103</v>
      </c>
      <c r="E171" s="64">
        <v>3</v>
      </c>
      <c r="F171" s="55" t="s">
        <v>14</v>
      </c>
      <c r="G171" s="54">
        <v>69.14</v>
      </c>
      <c r="H171" s="54">
        <v>6.7</v>
      </c>
      <c r="I171" s="53">
        <f t="shared" si="45"/>
        <v>75.84</v>
      </c>
      <c r="J171" s="52">
        <f t="shared" si="46"/>
        <v>227.52</v>
      </c>
      <c r="K171" s="39">
        <v>0.2387</v>
      </c>
      <c r="L171" s="38">
        <f t="shared" si="47"/>
        <v>256.93</v>
      </c>
      <c r="M171" s="38">
        <f t="shared" si="48"/>
        <v>24.9</v>
      </c>
      <c r="N171" s="38">
        <f t="shared" si="49"/>
        <v>281.83</v>
      </c>
      <c r="O171" s="34"/>
      <c r="P171" s="34"/>
      <c r="Q171" s="36"/>
      <c r="R171" s="6"/>
      <c r="S171" s="6"/>
      <c r="T171" s="6"/>
      <c r="U171" s="6"/>
      <c r="V171" s="6"/>
      <c r="W171" s="6"/>
      <c r="X171" s="6"/>
      <c r="Y171" s="6"/>
      <c r="Z171" s="6"/>
      <c r="AA171" s="6"/>
      <c r="AB171" s="6"/>
      <c r="AC171" s="6"/>
      <c r="AD171" s="6"/>
      <c r="AE171" s="6"/>
      <c r="AF171" s="6"/>
      <c r="AG171" s="6"/>
      <c r="AH171" s="6"/>
      <c r="AI171" s="6"/>
    </row>
    <row r="172" spans="2:35" ht="20.25" customHeight="1" x14ac:dyDescent="0.25">
      <c r="B172" s="67" t="s">
        <v>65</v>
      </c>
      <c r="C172" s="66">
        <v>93669</v>
      </c>
      <c r="D172" s="65" t="s">
        <v>102</v>
      </c>
      <c r="E172" s="64">
        <v>3</v>
      </c>
      <c r="F172" s="55" t="s">
        <v>14</v>
      </c>
      <c r="G172" s="54">
        <v>69.14</v>
      </c>
      <c r="H172" s="54">
        <v>6.7</v>
      </c>
      <c r="I172" s="53">
        <f t="shared" si="45"/>
        <v>75.84</v>
      </c>
      <c r="J172" s="52">
        <f t="shared" si="46"/>
        <v>227.52</v>
      </c>
      <c r="K172" s="39">
        <v>0.2387</v>
      </c>
      <c r="L172" s="38">
        <f t="shared" si="47"/>
        <v>256.93</v>
      </c>
      <c r="M172" s="38">
        <f t="shared" si="48"/>
        <v>24.9</v>
      </c>
      <c r="N172" s="38">
        <f t="shared" si="49"/>
        <v>281.83</v>
      </c>
      <c r="O172" s="34"/>
      <c r="P172" s="34"/>
      <c r="Q172" s="36"/>
      <c r="R172" s="6"/>
      <c r="S172" s="6"/>
      <c r="T172" s="6"/>
      <c r="U172" s="6"/>
      <c r="V172" s="6"/>
      <c r="W172" s="6"/>
      <c r="X172" s="6"/>
      <c r="Y172" s="6"/>
      <c r="Z172" s="6"/>
      <c r="AA172" s="6"/>
      <c r="AB172" s="6"/>
      <c r="AC172" s="6"/>
      <c r="AD172" s="6"/>
      <c r="AE172" s="6"/>
      <c r="AF172" s="6"/>
      <c r="AG172" s="6"/>
      <c r="AH172" s="6"/>
      <c r="AI172" s="6"/>
    </row>
    <row r="173" spans="2:35" ht="20.25" customHeight="1" x14ac:dyDescent="0.25">
      <c r="B173" s="67" t="s">
        <v>63</v>
      </c>
      <c r="C173" s="66">
        <v>93672</v>
      </c>
      <c r="D173" s="65" t="s">
        <v>101</v>
      </c>
      <c r="E173" s="64">
        <v>4</v>
      </c>
      <c r="F173" s="55" t="s">
        <v>14</v>
      </c>
      <c r="G173" s="54">
        <v>72.400000000000006</v>
      </c>
      <c r="H173" s="54">
        <v>13.71</v>
      </c>
      <c r="I173" s="53">
        <f t="shared" si="45"/>
        <v>86.110000000000014</v>
      </c>
      <c r="J173" s="52">
        <f t="shared" si="46"/>
        <v>344.44</v>
      </c>
      <c r="K173" s="39">
        <v>0.2387</v>
      </c>
      <c r="L173" s="38">
        <f t="shared" si="47"/>
        <v>358.73</v>
      </c>
      <c r="M173" s="38">
        <f t="shared" si="48"/>
        <v>67.930000000000007</v>
      </c>
      <c r="N173" s="38">
        <f t="shared" si="49"/>
        <v>426.66</v>
      </c>
      <c r="O173" s="34"/>
      <c r="P173" s="34"/>
      <c r="Q173" s="36"/>
      <c r="R173" s="6"/>
      <c r="S173" s="6"/>
      <c r="T173" s="6"/>
      <c r="U173" s="6"/>
      <c r="V173" s="6"/>
      <c r="W173" s="6"/>
      <c r="X173" s="6"/>
      <c r="Y173" s="6"/>
      <c r="Z173" s="6"/>
      <c r="AA173" s="6"/>
      <c r="AB173" s="6"/>
      <c r="AC173" s="6"/>
      <c r="AD173" s="6"/>
      <c r="AE173" s="6"/>
      <c r="AF173" s="6"/>
      <c r="AG173" s="6"/>
      <c r="AH173" s="6"/>
      <c r="AI173" s="6"/>
    </row>
    <row r="174" spans="2:35" ht="27.75" customHeight="1" x14ac:dyDescent="0.25">
      <c r="B174" s="67" t="s">
        <v>61</v>
      </c>
      <c r="C174" s="80">
        <v>101875</v>
      </c>
      <c r="D174" s="79" t="s">
        <v>100</v>
      </c>
      <c r="E174" s="64">
        <v>1</v>
      </c>
      <c r="F174" s="55" t="s">
        <v>14</v>
      </c>
      <c r="G174" s="54">
        <v>484.98</v>
      </c>
      <c r="H174" s="54">
        <v>18.09</v>
      </c>
      <c r="I174" s="53">
        <f t="shared" si="45"/>
        <v>503.07</v>
      </c>
      <c r="J174" s="52">
        <f t="shared" si="46"/>
        <v>503.07</v>
      </c>
      <c r="K174" s="39">
        <v>0.2387</v>
      </c>
      <c r="L174" s="38">
        <f t="shared" si="47"/>
        <v>600.74</v>
      </c>
      <c r="M174" s="38">
        <f t="shared" si="48"/>
        <v>22.41</v>
      </c>
      <c r="N174" s="38">
        <f t="shared" si="49"/>
        <v>623.15</v>
      </c>
      <c r="O174" s="34"/>
      <c r="P174" s="34"/>
      <c r="Q174" s="36"/>
      <c r="R174" s="6"/>
      <c r="S174" s="6"/>
      <c r="T174" s="6"/>
      <c r="U174" s="6"/>
      <c r="V174" s="6"/>
      <c r="W174" s="6"/>
      <c r="X174" s="6"/>
      <c r="Y174" s="6"/>
      <c r="Z174" s="6"/>
      <c r="AA174" s="6"/>
      <c r="AB174" s="6"/>
      <c r="AC174" s="6"/>
      <c r="AD174" s="6"/>
      <c r="AE174" s="6"/>
      <c r="AF174" s="6"/>
      <c r="AG174" s="6"/>
      <c r="AH174" s="6"/>
      <c r="AI174" s="6"/>
    </row>
    <row r="175" spans="2:35" s="73" customFormat="1" ht="27.75" customHeight="1" x14ac:dyDescent="0.25">
      <c r="B175" s="67" t="s">
        <v>60</v>
      </c>
      <c r="C175" s="78" t="s">
        <v>99</v>
      </c>
      <c r="D175" s="72" t="s">
        <v>98</v>
      </c>
      <c r="E175" s="77">
        <f>36+86</f>
        <v>122</v>
      </c>
      <c r="F175" s="55" t="s">
        <v>22</v>
      </c>
      <c r="G175" s="54">
        <f>'[1]COMPOSIÇÕES PRÓPRIAS'!J191</f>
        <v>10.450769999999999</v>
      </c>
      <c r="H175" s="54">
        <f>'[1]COMPOSIÇÕES PRÓPRIAS'!K191</f>
        <v>1.3094999999999999</v>
      </c>
      <c r="I175" s="54">
        <f t="shared" si="45"/>
        <v>11.760269999999998</v>
      </c>
      <c r="J175" s="38">
        <f t="shared" si="46"/>
        <v>1434.75</v>
      </c>
      <c r="K175" s="39">
        <v>0.2387</v>
      </c>
      <c r="L175" s="38">
        <f t="shared" si="47"/>
        <v>1579.33</v>
      </c>
      <c r="M175" s="38">
        <f t="shared" si="48"/>
        <v>197.89</v>
      </c>
      <c r="N175" s="38">
        <f t="shared" si="49"/>
        <v>1777.22</v>
      </c>
      <c r="O175" s="76"/>
      <c r="P175" s="76"/>
      <c r="Q175" s="75"/>
      <c r="R175" s="74"/>
      <c r="S175" s="74"/>
      <c r="T175" s="74"/>
      <c r="U175" s="74"/>
      <c r="V175" s="74"/>
      <c r="W175" s="74"/>
      <c r="X175" s="74"/>
      <c r="Y175" s="74"/>
      <c r="Z175" s="74"/>
      <c r="AA175" s="74"/>
      <c r="AB175" s="74"/>
      <c r="AC175" s="74"/>
      <c r="AD175" s="74"/>
      <c r="AE175" s="74"/>
      <c r="AF175" s="74"/>
      <c r="AG175" s="74"/>
      <c r="AH175" s="74"/>
      <c r="AI175" s="74"/>
    </row>
    <row r="176" spans="2:35" s="73" customFormat="1" ht="27.75" customHeight="1" x14ac:dyDescent="0.25">
      <c r="B176" s="67" t="s">
        <v>59</v>
      </c>
      <c r="C176" s="78" t="str">
        <f>C166</f>
        <v>CP-13</v>
      </c>
      <c r="D176" s="72" t="s">
        <v>97</v>
      </c>
      <c r="E176" s="77">
        <f>'[1]MEMORIAL DE CÁLCULO'!E157</f>
        <v>43</v>
      </c>
      <c r="F176" s="55" t="s">
        <v>22</v>
      </c>
      <c r="G176" s="54">
        <f>'[1]COMPOSIÇÕES PRÓPRIAS'!J181</f>
        <v>15.900969999999999</v>
      </c>
      <c r="H176" s="54">
        <f>'[1]COMPOSIÇÕES PRÓPRIAS'!K181</f>
        <v>1.746</v>
      </c>
      <c r="I176" s="54">
        <f t="shared" si="45"/>
        <v>17.64697</v>
      </c>
      <c r="J176" s="38">
        <f t="shared" si="46"/>
        <v>758.82</v>
      </c>
      <c r="K176" s="39">
        <v>0.2387</v>
      </c>
      <c r="L176" s="38">
        <f t="shared" si="47"/>
        <v>846.95</v>
      </c>
      <c r="M176" s="38">
        <f t="shared" si="48"/>
        <v>93</v>
      </c>
      <c r="N176" s="38">
        <f t="shared" si="49"/>
        <v>939.95</v>
      </c>
      <c r="O176" s="76"/>
      <c r="P176" s="76"/>
      <c r="Q176" s="75"/>
      <c r="R176" s="74"/>
      <c r="S176" s="74"/>
      <c r="T176" s="74"/>
      <c r="U176" s="74"/>
      <c r="V176" s="74"/>
      <c r="W176" s="74"/>
      <c r="X176" s="74"/>
      <c r="Y176" s="74"/>
      <c r="Z176" s="74"/>
      <c r="AA176" s="74"/>
      <c r="AB176" s="74"/>
      <c r="AC176" s="74"/>
      <c r="AD176" s="74"/>
      <c r="AE176" s="74"/>
      <c r="AF176" s="74"/>
      <c r="AG176" s="74"/>
      <c r="AH176" s="74"/>
      <c r="AI176" s="74"/>
    </row>
    <row r="177" spans="2:35" ht="20.25" customHeight="1" x14ac:dyDescent="0.25">
      <c r="B177" s="67" t="s">
        <v>58</v>
      </c>
      <c r="C177" s="66">
        <v>91864</v>
      </c>
      <c r="D177" s="65" t="s">
        <v>96</v>
      </c>
      <c r="E177" s="64">
        <f>'[1]MEMORIAL DE CÁLCULO'!E158</f>
        <v>180</v>
      </c>
      <c r="F177" s="55" t="s">
        <v>22</v>
      </c>
      <c r="G177" s="54">
        <v>11.02</v>
      </c>
      <c r="H177" s="54">
        <v>4.97</v>
      </c>
      <c r="I177" s="53">
        <f t="shared" si="45"/>
        <v>15.989999999999998</v>
      </c>
      <c r="J177" s="52">
        <f t="shared" si="46"/>
        <v>2878.2</v>
      </c>
      <c r="K177" s="39">
        <v>0.2387</v>
      </c>
      <c r="L177" s="38">
        <f t="shared" si="47"/>
        <v>2457.09</v>
      </c>
      <c r="M177" s="38">
        <f t="shared" si="48"/>
        <v>1108.1400000000001</v>
      </c>
      <c r="N177" s="38">
        <f t="shared" si="49"/>
        <v>3565.23</v>
      </c>
      <c r="O177" s="34"/>
      <c r="P177" s="34"/>
      <c r="Q177" s="36"/>
      <c r="R177" s="6"/>
      <c r="S177" s="6"/>
      <c r="T177" s="6"/>
      <c r="U177" s="6"/>
      <c r="V177" s="6"/>
      <c r="W177" s="6"/>
      <c r="X177" s="6"/>
      <c r="Y177" s="6"/>
      <c r="Z177" s="6"/>
      <c r="AA177" s="6"/>
      <c r="AB177" s="6"/>
      <c r="AC177" s="6"/>
      <c r="AD177" s="6"/>
      <c r="AE177" s="6"/>
      <c r="AF177" s="6"/>
      <c r="AG177" s="6"/>
      <c r="AH177" s="6"/>
      <c r="AI177" s="6"/>
    </row>
    <row r="178" spans="2:35" ht="27.75" customHeight="1" x14ac:dyDescent="0.25">
      <c r="B178" s="67" t="s">
        <v>57</v>
      </c>
      <c r="C178" s="57">
        <v>101632</v>
      </c>
      <c r="D178" s="72" t="s">
        <v>95</v>
      </c>
      <c r="E178" s="64">
        <f>'[1]MEMORIAL DE CÁLCULO'!E159</f>
        <v>8</v>
      </c>
      <c r="F178" s="55" t="s">
        <v>14</v>
      </c>
      <c r="G178" s="54">
        <v>49.36</v>
      </c>
      <c r="H178" s="52">
        <v>0.54</v>
      </c>
      <c r="I178" s="53">
        <f t="shared" si="45"/>
        <v>49.9</v>
      </c>
      <c r="J178" s="52">
        <f t="shared" si="46"/>
        <v>399.2</v>
      </c>
      <c r="K178" s="39">
        <v>0.2387</v>
      </c>
      <c r="L178" s="38">
        <f t="shared" si="47"/>
        <v>489.14</v>
      </c>
      <c r="M178" s="38">
        <f t="shared" si="48"/>
        <v>5.35</v>
      </c>
      <c r="N178" s="38">
        <f t="shared" si="49"/>
        <v>494.49</v>
      </c>
      <c r="O178" s="34"/>
      <c r="P178" s="34"/>
      <c r="Q178" s="36"/>
      <c r="R178" s="6"/>
      <c r="S178" s="6"/>
      <c r="T178" s="6"/>
      <c r="U178" s="6"/>
      <c r="V178" s="6"/>
      <c r="W178" s="6"/>
      <c r="X178" s="6"/>
      <c r="Y178" s="6"/>
      <c r="Z178" s="6"/>
      <c r="AA178" s="6"/>
      <c r="AB178" s="6"/>
      <c r="AC178" s="6"/>
      <c r="AD178" s="6"/>
      <c r="AE178" s="6"/>
      <c r="AF178" s="6"/>
      <c r="AG178" s="6"/>
      <c r="AH178" s="6"/>
      <c r="AI178" s="6"/>
    </row>
    <row r="179" spans="2:35" ht="20.25" customHeight="1" x14ac:dyDescent="0.25">
      <c r="B179" s="67" t="s">
        <v>56</v>
      </c>
      <c r="C179" s="66">
        <v>100767</v>
      </c>
      <c r="D179" s="65" t="s">
        <v>94</v>
      </c>
      <c r="E179" s="64">
        <f>'[1]MEMORIAL DE CÁLCULO'!E160</f>
        <v>20</v>
      </c>
      <c r="F179" s="55" t="s">
        <v>40</v>
      </c>
      <c r="G179" s="54">
        <v>15.78</v>
      </c>
      <c r="H179" s="54">
        <v>3.03</v>
      </c>
      <c r="I179" s="53">
        <f t="shared" si="45"/>
        <v>18.809999999999999</v>
      </c>
      <c r="J179" s="52">
        <f t="shared" si="46"/>
        <v>376.2</v>
      </c>
      <c r="K179" s="39">
        <v>0.2387</v>
      </c>
      <c r="L179" s="38">
        <f t="shared" si="47"/>
        <v>390.93</v>
      </c>
      <c r="M179" s="38">
        <f t="shared" si="48"/>
        <v>75.069999999999993</v>
      </c>
      <c r="N179" s="38">
        <f t="shared" si="49"/>
        <v>466</v>
      </c>
      <c r="O179" s="34"/>
      <c r="P179" s="34"/>
      <c r="Q179" s="36"/>
      <c r="R179" s="6"/>
      <c r="S179" s="6"/>
      <c r="T179" s="6"/>
      <c r="U179" s="6"/>
      <c r="V179" s="6"/>
      <c r="W179" s="6"/>
      <c r="X179" s="6"/>
      <c r="Y179" s="6"/>
      <c r="Z179" s="6"/>
      <c r="AA179" s="6"/>
      <c r="AB179" s="6"/>
      <c r="AC179" s="6"/>
      <c r="AD179" s="6"/>
      <c r="AE179" s="6"/>
      <c r="AF179" s="6"/>
      <c r="AG179" s="6"/>
      <c r="AH179" s="6"/>
      <c r="AI179" s="6"/>
    </row>
    <row r="180" spans="2:35" ht="20.25" customHeight="1" x14ac:dyDescent="0.25">
      <c r="B180" s="67" t="s">
        <v>55</v>
      </c>
      <c r="C180" s="66" t="s">
        <v>93</v>
      </c>
      <c r="D180" s="65" t="s">
        <v>92</v>
      </c>
      <c r="E180" s="64">
        <f>4+4</f>
        <v>8</v>
      </c>
      <c r="F180" s="55" t="s">
        <v>14</v>
      </c>
      <c r="G180" s="54">
        <f>'[1]COMPOSIÇÕES PRÓPRIAS'!J201</f>
        <v>59.765468749999997</v>
      </c>
      <c r="H180" s="54">
        <f>'[1]COMPOSIÇÕES PRÓPRIAS'!K201</f>
        <v>43.650000000000006</v>
      </c>
      <c r="I180" s="53">
        <f t="shared" si="45"/>
        <v>103.41546875</v>
      </c>
      <c r="J180" s="52">
        <f t="shared" si="46"/>
        <v>827.32</v>
      </c>
      <c r="K180" s="39">
        <v>0.2387</v>
      </c>
      <c r="L180" s="38">
        <f t="shared" si="47"/>
        <v>592.25</v>
      </c>
      <c r="M180" s="38">
        <f t="shared" si="48"/>
        <v>432.55</v>
      </c>
      <c r="N180" s="38">
        <f t="shared" si="49"/>
        <v>1024.8</v>
      </c>
      <c r="O180" s="34"/>
      <c r="P180" s="34"/>
      <c r="Q180" s="36"/>
      <c r="R180" s="6"/>
      <c r="S180" s="6"/>
      <c r="T180" s="6"/>
      <c r="U180" s="6"/>
      <c r="V180" s="6"/>
      <c r="W180" s="6"/>
      <c r="X180" s="6"/>
      <c r="Y180" s="6"/>
      <c r="Z180" s="6"/>
      <c r="AA180" s="6"/>
      <c r="AB180" s="6"/>
      <c r="AC180" s="6"/>
      <c r="AD180" s="6"/>
      <c r="AE180" s="6"/>
      <c r="AF180" s="6"/>
      <c r="AG180" s="6"/>
      <c r="AH180" s="6"/>
      <c r="AI180" s="6"/>
    </row>
    <row r="181" spans="2:35" ht="27.75" customHeight="1" x14ac:dyDescent="0.25">
      <c r="B181" s="67" t="s">
        <v>53</v>
      </c>
      <c r="C181" s="71">
        <v>103782</v>
      </c>
      <c r="D181" s="70" t="s">
        <v>91</v>
      </c>
      <c r="E181" s="64">
        <f>'[1]MEMORIAL DE CÁLCULO'!E162</f>
        <v>10</v>
      </c>
      <c r="F181" s="55" t="s">
        <v>14</v>
      </c>
      <c r="G181" s="54">
        <v>22.15</v>
      </c>
      <c r="H181" s="52">
        <v>12.51</v>
      </c>
      <c r="I181" s="53">
        <f t="shared" si="45"/>
        <v>34.659999999999997</v>
      </c>
      <c r="J181" s="52">
        <f t="shared" si="46"/>
        <v>346.6</v>
      </c>
      <c r="K181" s="39">
        <v>0.2387</v>
      </c>
      <c r="L181" s="38">
        <f t="shared" si="47"/>
        <v>274.37</v>
      </c>
      <c r="M181" s="38">
        <f t="shared" si="48"/>
        <v>154.96</v>
      </c>
      <c r="N181" s="38">
        <f t="shared" si="49"/>
        <v>429.33</v>
      </c>
      <c r="O181" s="34"/>
      <c r="P181" s="34"/>
      <c r="Q181" s="36"/>
      <c r="R181" s="6"/>
      <c r="S181" s="6"/>
      <c r="T181" s="6"/>
      <c r="U181" s="6"/>
      <c r="V181" s="6"/>
      <c r="W181" s="6"/>
      <c r="X181" s="6"/>
      <c r="Y181" s="6"/>
      <c r="Z181" s="6"/>
      <c r="AA181" s="6"/>
      <c r="AB181" s="6"/>
      <c r="AC181" s="6"/>
      <c r="AD181" s="6"/>
      <c r="AE181" s="6"/>
      <c r="AF181" s="6"/>
      <c r="AG181" s="6"/>
      <c r="AH181" s="6"/>
      <c r="AI181" s="6"/>
    </row>
    <row r="182" spans="2:35" ht="19.5" customHeight="1" x14ac:dyDescent="0.25">
      <c r="B182" s="67" t="s">
        <v>52</v>
      </c>
      <c r="C182" s="69" t="s">
        <v>90</v>
      </c>
      <c r="D182" s="68" t="s">
        <v>89</v>
      </c>
      <c r="E182" s="64">
        <f>'[1]MEMORIAL DE CÁLCULO'!E163</f>
        <v>24</v>
      </c>
      <c r="F182" s="55" t="s">
        <v>14</v>
      </c>
      <c r="G182" s="54">
        <f>'[1]COMPOSIÇÕES PRÓPRIAS'!J213</f>
        <v>372.77936566666665</v>
      </c>
      <c r="H182" s="54">
        <f>'[1]COMPOSIÇÕES PRÓPRIAS'!K213</f>
        <v>30.720870000000001</v>
      </c>
      <c r="I182" s="53">
        <f t="shared" si="45"/>
        <v>403.50023566666664</v>
      </c>
      <c r="J182" s="52">
        <f t="shared" si="46"/>
        <v>9684.01</v>
      </c>
      <c r="K182" s="39">
        <v>0.2387</v>
      </c>
      <c r="L182" s="38">
        <f t="shared" si="47"/>
        <v>11082.28</v>
      </c>
      <c r="M182" s="38">
        <f t="shared" si="48"/>
        <v>913.29</v>
      </c>
      <c r="N182" s="38">
        <f t="shared" si="49"/>
        <v>11995.57</v>
      </c>
      <c r="O182" s="34"/>
      <c r="P182" s="34"/>
      <c r="Q182" s="36"/>
      <c r="R182" s="6"/>
      <c r="S182" s="6"/>
      <c r="T182" s="6"/>
      <c r="U182" s="6"/>
      <c r="V182" s="6"/>
      <c r="W182" s="6"/>
      <c r="X182" s="6"/>
      <c r="Y182" s="6"/>
      <c r="Z182" s="6"/>
      <c r="AA182" s="6"/>
      <c r="AB182" s="6"/>
      <c r="AC182" s="6"/>
      <c r="AD182" s="6"/>
      <c r="AE182" s="6"/>
      <c r="AF182" s="6"/>
      <c r="AG182" s="6"/>
      <c r="AH182" s="6"/>
      <c r="AI182" s="6"/>
    </row>
    <row r="183" spans="2:35" ht="27.75" customHeight="1" x14ac:dyDescent="0.25">
      <c r="B183" s="67" t="s">
        <v>51</v>
      </c>
      <c r="C183" s="66">
        <v>91173</v>
      </c>
      <c r="D183" s="65" t="s">
        <v>88</v>
      </c>
      <c r="E183" s="64">
        <f>'[1]MEMORIAL DE CÁLCULO'!E164</f>
        <v>46</v>
      </c>
      <c r="F183" s="55" t="s">
        <v>22</v>
      </c>
      <c r="G183" s="54">
        <v>0.65</v>
      </c>
      <c r="H183" s="52">
        <v>0.72</v>
      </c>
      <c r="I183" s="53">
        <f t="shared" si="45"/>
        <v>1.37</v>
      </c>
      <c r="J183" s="52">
        <f t="shared" si="46"/>
        <v>63.02</v>
      </c>
      <c r="K183" s="39">
        <v>0.2387</v>
      </c>
      <c r="L183" s="38">
        <f t="shared" si="47"/>
        <v>37.04</v>
      </c>
      <c r="M183" s="38">
        <f t="shared" si="48"/>
        <v>41.03</v>
      </c>
      <c r="N183" s="38">
        <f t="shared" si="49"/>
        <v>78.069999999999993</v>
      </c>
      <c r="O183" s="34"/>
      <c r="P183" s="34"/>
      <c r="Q183" s="36"/>
      <c r="R183" s="6"/>
      <c r="S183" s="6"/>
      <c r="T183" s="6"/>
      <c r="U183" s="6"/>
      <c r="V183" s="6"/>
      <c r="W183" s="6"/>
      <c r="X183" s="6"/>
      <c r="Y183" s="6"/>
      <c r="Z183" s="6"/>
      <c r="AA183" s="6"/>
      <c r="AB183" s="6"/>
      <c r="AC183" s="6"/>
      <c r="AD183" s="6"/>
      <c r="AE183" s="6"/>
      <c r="AF183" s="6"/>
      <c r="AG183" s="6"/>
      <c r="AH183" s="6"/>
      <c r="AI183" s="6"/>
    </row>
    <row r="184" spans="2:35" ht="27.75" customHeight="1" x14ac:dyDescent="0.25">
      <c r="B184" s="67" t="s">
        <v>50</v>
      </c>
      <c r="C184" s="66" t="s">
        <v>87</v>
      </c>
      <c r="D184" s="65" t="s">
        <v>86</v>
      </c>
      <c r="E184" s="64">
        <f>'[1]MEMORIAL DE CÁLCULO'!E165</f>
        <v>30</v>
      </c>
      <c r="F184" s="55" t="s">
        <v>14</v>
      </c>
      <c r="G184" s="54">
        <v>2.5</v>
      </c>
      <c r="H184" s="52">
        <v>3.64</v>
      </c>
      <c r="I184" s="53">
        <f t="shared" si="45"/>
        <v>6.1400000000000006</v>
      </c>
      <c r="J184" s="52">
        <f t="shared" si="46"/>
        <v>184.2</v>
      </c>
      <c r="K184" s="39">
        <v>0.2387</v>
      </c>
      <c r="L184" s="38">
        <f t="shared" si="47"/>
        <v>92.9</v>
      </c>
      <c r="M184" s="38">
        <f t="shared" si="48"/>
        <v>135.27000000000001</v>
      </c>
      <c r="N184" s="38">
        <f t="shared" si="49"/>
        <v>228.17</v>
      </c>
      <c r="O184" s="34"/>
      <c r="P184" s="34"/>
      <c r="Q184" s="36"/>
      <c r="R184" s="6"/>
      <c r="S184" s="6"/>
      <c r="T184" s="6"/>
      <c r="U184" s="6"/>
      <c r="V184" s="6"/>
      <c r="W184" s="6"/>
      <c r="X184" s="6"/>
      <c r="Y184" s="6"/>
      <c r="Z184" s="6"/>
      <c r="AA184" s="6"/>
      <c r="AB184" s="6"/>
      <c r="AC184" s="6"/>
      <c r="AD184" s="6"/>
      <c r="AE184" s="6"/>
      <c r="AF184" s="6"/>
      <c r="AG184" s="6"/>
      <c r="AH184" s="6"/>
      <c r="AI184" s="6"/>
    </row>
    <row r="185" spans="2:35" ht="27.75" customHeight="1" x14ac:dyDescent="0.25">
      <c r="B185" s="67" t="s">
        <v>49</v>
      </c>
      <c r="C185" s="66">
        <v>100602</v>
      </c>
      <c r="D185" s="65" t="s">
        <v>85</v>
      </c>
      <c r="E185" s="64">
        <f>'[1]MEMORIAL DE CÁLCULO'!E166</f>
        <v>2</v>
      </c>
      <c r="F185" s="55" t="s">
        <v>14</v>
      </c>
      <c r="G185" s="54">
        <v>619.73</v>
      </c>
      <c r="H185" s="52">
        <v>242.54</v>
      </c>
      <c r="I185" s="53">
        <f t="shared" si="45"/>
        <v>862.27</v>
      </c>
      <c r="J185" s="52">
        <f t="shared" si="46"/>
        <v>1724.54</v>
      </c>
      <c r="K185" s="39">
        <v>0.2387</v>
      </c>
      <c r="L185" s="38">
        <f t="shared" si="47"/>
        <v>1535.32</v>
      </c>
      <c r="M185" s="38">
        <f t="shared" si="48"/>
        <v>600.87</v>
      </c>
      <c r="N185" s="38">
        <f t="shared" si="49"/>
        <v>2136.19</v>
      </c>
      <c r="O185" s="34"/>
      <c r="P185" s="34"/>
      <c r="Q185" s="36"/>
      <c r="R185" s="6"/>
      <c r="S185" s="6"/>
      <c r="T185" s="6"/>
      <c r="U185" s="6"/>
      <c r="V185" s="6"/>
      <c r="W185" s="6"/>
      <c r="X185" s="6"/>
      <c r="Y185" s="6"/>
      <c r="Z185" s="6"/>
      <c r="AA185" s="6"/>
      <c r="AB185" s="6"/>
      <c r="AC185" s="6"/>
      <c r="AD185" s="6"/>
      <c r="AE185" s="6"/>
      <c r="AF185" s="6"/>
      <c r="AG185" s="6"/>
      <c r="AH185" s="6"/>
      <c r="AI185" s="6"/>
    </row>
    <row r="186" spans="2:35" ht="27.75" customHeight="1" x14ac:dyDescent="0.25">
      <c r="B186" s="67" t="s">
        <v>84</v>
      </c>
      <c r="C186" s="66">
        <v>103519</v>
      </c>
      <c r="D186" s="65" t="s">
        <v>83</v>
      </c>
      <c r="E186" s="64">
        <f>'[1]MEMORIAL DE CÁLCULO'!E167</f>
        <v>4</v>
      </c>
      <c r="F186" s="55" t="s">
        <v>14</v>
      </c>
      <c r="G186" s="54">
        <f>2.21+4.84</f>
        <v>7.05</v>
      </c>
      <c r="H186" s="52">
        <v>3.28</v>
      </c>
      <c r="I186" s="53">
        <f t="shared" si="45"/>
        <v>10.33</v>
      </c>
      <c r="J186" s="52">
        <f t="shared" si="46"/>
        <v>41.32</v>
      </c>
      <c r="K186" s="39">
        <v>0.2387</v>
      </c>
      <c r="L186" s="38">
        <f t="shared" si="47"/>
        <v>34.93</v>
      </c>
      <c r="M186" s="38">
        <f t="shared" si="48"/>
        <v>16.25</v>
      </c>
      <c r="N186" s="38">
        <f t="shared" si="49"/>
        <v>51.18</v>
      </c>
      <c r="O186" s="34"/>
      <c r="P186" s="34"/>
      <c r="Q186" s="36"/>
      <c r="R186" s="6"/>
      <c r="S186" s="6"/>
      <c r="T186" s="6"/>
      <c r="U186" s="6"/>
      <c r="V186" s="6"/>
      <c r="W186" s="6"/>
      <c r="X186" s="6"/>
      <c r="Y186" s="6"/>
      <c r="Z186" s="6"/>
      <c r="AA186" s="6"/>
      <c r="AB186" s="6"/>
      <c r="AC186" s="6"/>
      <c r="AD186" s="6"/>
      <c r="AE186" s="6"/>
      <c r="AF186" s="6"/>
      <c r="AG186" s="6"/>
      <c r="AH186" s="6"/>
      <c r="AI186" s="6"/>
    </row>
    <row r="187" spans="2:35" ht="27.75" customHeight="1" x14ac:dyDescent="0.25">
      <c r="B187" s="67" t="s">
        <v>82</v>
      </c>
      <c r="C187" s="66">
        <v>5050</v>
      </c>
      <c r="D187" s="65" t="s">
        <v>81</v>
      </c>
      <c r="E187" s="64">
        <f>'[1]MEMORIAL DE CÁLCULO'!E168</f>
        <v>4</v>
      </c>
      <c r="F187" s="55" t="s">
        <v>14</v>
      </c>
      <c r="G187" s="54">
        <v>739.44</v>
      </c>
      <c r="H187" s="52">
        <v>0</v>
      </c>
      <c r="I187" s="53">
        <f t="shared" si="45"/>
        <v>739.44</v>
      </c>
      <c r="J187" s="52">
        <f t="shared" si="46"/>
        <v>2957.76</v>
      </c>
      <c r="K187" s="39">
        <v>0.2387</v>
      </c>
      <c r="L187" s="38">
        <f t="shared" si="47"/>
        <v>3663.78</v>
      </c>
      <c r="M187" s="38">
        <f t="shared" si="48"/>
        <v>0</v>
      </c>
      <c r="N187" s="38">
        <f t="shared" si="49"/>
        <v>3663.78</v>
      </c>
      <c r="O187" s="34"/>
      <c r="P187" s="34"/>
      <c r="Q187" s="36"/>
      <c r="R187" s="6"/>
      <c r="S187" s="6"/>
      <c r="T187" s="6"/>
      <c r="U187" s="6"/>
      <c r="V187" s="6"/>
      <c r="W187" s="6"/>
      <c r="X187" s="6"/>
      <c r="Y187" s="6"/>
      <c r="Z187" s="6"/>
      <c r="AA187" s="6"/>
      <c r="AB187" s="6"/>
      <c r="AC187" s="6"/>
      <c r="AD187" s="6"/>
      <c r="AE187" s="6"/>
      <c r="AF187" s="6"/>
      <c r="AG187" s="6"/>
      <c r="AH187" s="6"/>
      <c r="AI187" s="6"/>
    </row>
    <row r="188" spans="2:35" ht="27.75" customHeight="1" x14ac:dyDescent="0.25">
      <c r="B188" s="67" t="s">
        <v>80</v>
      </c>
      <c r="C188" s="66">
        <v>5045</v>
      </c>
      <c r="D188" s="65" t="s">
        <v>79</v>
      </c>
      <c r="E188" s="64">
        <f>'[1]MEMORIAL DE CÁLCULO'!E169</f>
        <v>1</v>
      </c>
      <c r="F188" s="55" t="s">
        <v>14</v>
      </c>
      <c r="G188" s="54">
        <v>2381.14</v>
      </c>
      <c r="H188" s="52">
        <v>0</v>
      </c>
      <c r="I188" s="53">
        <f t="shared" si="45"/>
        <v>2381.14</v>
      </c>
      <c r="J188" s="52">
        <f t="shared" si="46"/>
        <v>2381.14</v>
      </c>
      <c r="K188" s="39">
        <v>0.2387</v>
      </c>
      <c r="L188" s="38">
        <f t="shared" si="47"/>
        <v>2949.52</v>
      </c>
      <c r="M188" s="38">
        <f t="shared" si="48"/>
        <v>0</v>
      </c>
      <c r="N188" s="38">
        <f t="shared" si="49"/>
        <v>2949.52</v>
      </c>
      <c r="O188" s="34"/>
      <c r="P188" s="34"/>
      <c r="Q188" s="36"/>
      <c r="R188" s="6"/>
      <c r="S188" s="6"/>
      <c r="T188" s="6"/>
      <c r="U188" s="6"/>
      <c r="V188" s="6"/>
      <c r="W188" s="6"/>
      <c r="X188" s="6"/>
      <c r="Y188" s="6"/>
      <c r="Z188" s="6"/>
      <c r="AA188" s="6"/>
      <c r="AB188" s="6"/>
      <c r="AC188" s="6"/>
      <c r="AD188" s="6"/>
      <c r="AE188" s="6"/>
      <c r="AF188" s="6"/>
      <c r="AG188" s="6"/>
      <c r="AH188" s="6"/>
      <c r="AI188" s="6"/>
    </row>
    <row r="189" spans="2:35" ht="20.25" customHeight="1" x14ac:dyDescent="0.25">
      <c r="B189" s="107" t="s">
        <v>78</v>
      </c>
      <c r="C189" s="108"/>
      <c r="D189" s="108"/>
      <c r="E189" s="108"/>
      <c r="F189" s="108"/>
      <c r="G189" s="108"/>
      <c r="H189" s="108"/>
      <c r="I189" s="108"/>
      <c r="J189" s="108"/>
      <c r="K189" s="108"/>
      <c r="L189" s="37">
        <f>SUM(L161:L188)</f>
        <v>38776.839999999997</v>
      </c>
      <c r="M189" s="37">
        <f>SUM(M161:M188)</f>
        <v>8854.9200000000019</v>
      </c>
      <c r="N189" s="37">
        <f>SUM(N161:N188)</f>
        <v>47631.76</v>
      </c>
      <c r="O189" s="34"/>
      <c r="P189" s="34"/>
      <c r="Q189" s="36"/>
      <c r="R189" s="6"/>
      <c r="S189" s="6"/>
      <c r="T189" s="6"/>
      <c r="U189" s="6"/>
      <c r="V189" s="6"/>
      <c r="W189" s="6"/>
      <c r="X189" s="6"/>
      <c r="Y189" s="6"/>
      <c r="Z189" s="6"/>
      <c r="AA189" s="6"/>
      <c r="AB189" s="6"/>
      <c r="AC189" s="6"/>
      <c r="AD189" s="6"/>
      <c r="AE189" s="6"/>
      <c r="AF189" s="6"/>
      <c r="AG189" s="6"/>
      <c r="AH189" s="6"/>
      <c r="AI189" s="6"/>
    </row>
    <row r="190" spans="2:35" ht="20.25" customHeight="1" x14ac:dyDescent="0.25">
      <c r="B190" s="51">
        <v>17</v>
      </c>
      <c r="C190" s="109" t="s">
        <v>77</v>
      </c>
      <c r="D190" s="109"/>
      <c r="E190" s="109"/>
      <c r="F190" s="109"/>
      <c r="G190" s="109"/>
      <c r="H190" s="109"/>
      <c r="I190" s="109"/>
      <c r="J190" s="109"/>
      <c r="K190" s="109"/>
      <c r="L190" s="109"/>
      <c r="M190" s="109"/>
      <c r="N190" s="110"/>
      <c r="O190" s="34"/>
      <c r="P190" s="34"/>
      <c r="Q190" s="36"/>
      <c r="R190" s="6"/>
      <c r="S190" s="6"/>
      <c r="T190" s="6"/>
      <c r="U190" s="6"/>
      <c r="V190" s="6"/>
      <c r="W190" s="6"/>
      <c r="X190" s="6"/>
      <c r="Y190" s="6"/>
      <c r="Z190" s="6"/>
      <c r="AA190" s="6"/>
      <c r="AB190" s="6"/>
      <c r="AC190" s="6"/>
      <c r="AD190" s="6"/>
      <c r="AE190" s="6"/>
      <c r="AF190" s="6"/>
      <c r="AG190" s="6"/>
      <c r="AH190" s="6"/>
      <c r="AI190" s="6"/>
    </row>
    <row r="191" spans="2:35" ht="27.75" customHeight="1" x14ac:dyDescent="0.25">
      <c r="B191" s="47" t="s">
        <v>76</v>
      </c>
      <c r="C191" s="46">
        <f>'[1]MEMORIAL DE CÁLCULO'!C177</f>
        <v>96524</v>
      </c>
      <c r="D191" s="60" t="str">
        <f>'[1]MEMORIAL DE CÁLCULO'!D177</f>
        <v>ESCAVAÇÃO MECANIZADA PARA VIGA BALDRAME COM MINI-ESCAVADEIRA (SEM ESCAVAÇÃO PARA COLOCAÇÃO DE FÔRMAS). Vigas de 20x30</v>
      </c>
      <c r="E191" s="46">
        <f>'[1]MEMORIAL DE CÁLCULO'!E177</f>
        <v>1.7920000000000003</v>
      </c>
      <c r="F191" s="46" t="s">
        <v>37</v>
      </c>
      <c r="G191" s="54">
        <f>33.61+36.95</f>
        <v>70.56</v>
      </c>
      <c r="H191" s="52">
        <v>104.78</v>
      </c>
      <c r="I191" s="53">
        <f t="shared" ref="I191:I216" si="50">G191+H191</f>
        <v>175.34</v>
      </c>
      <c r="J191" s="52">
        <f t="shared" ref="J191:J216" si="51">ROUND(I191*E191,2)</f>
        <v>314.20999999999998</v>
      </c>
      <c r="K191" s="39">
        <v>0.2387</v>
      </c>
      <c r="L191" s="38">
        <f t="shared" ref="L191:L216" si="52">ROUND((1+K191)*E191*G191,2)</f>
        <v>156.63</v>
      </c>
      <c r="M191" s="38">
        <f t="shared" ref="M191:M216" si="53">ROUND((1+K191)*E191*H191,2)</f>
        <v>232.59</v>
      </c>
      <c r="N191" s="38">
        <f t="shared" ref="N191:N216" si="54">ROUND(L191+M191,2)</f>
        <v>389.22</v>
      </c>
      <c r="O191" s="34"/>
      <c r="P191" s="34"/>
      <c r="Q191" s="36"/>
      <c r="R191" s="6"/>
      <c r="S191" s="6"/>
      <c r="T191" s="6"/>
      <c r="U191" s="6"/>
      <c r="V191" s="6"/>
      <c r="W191" s="6"/>
      <c r="X191" s="6"/>
      <c r="Y191" s="6"/>
      <c r="Z191" s="6"/>
      <c r="AA191" s="6"/>
      <c r="AB191" s="6"/>
      <c r="AC191" s="6"/>
      <c r="AD191" s="6"/>
      <c r="AE191" s="6"/>
      <c r="AF191" s="6"/>
      <c r="AG191" s="6"/>
      <c r="AH191" s="6"/>
      <c r="AI191" s="6"/>
    </row>
    <row r="192" spans="2:35" ht="27.75" customHeight="1" x14ac:dyDescent="0.25">
      <c r="B192" s="47" t="s">
        <v>75</v>
      </c>
      <c r="C192" s="46">
        <f>'[1]MEMORIAL DE CÁLCULO'!C178</f>
        <v>96536</v>
      </c>
      <c r="D192" s="60" t="str">
        <f>'[1]MEMORIAL DE CÁLCULO'!D178</f>
        <v>FABRICAÇÃO, MONTAGEM E DESMONTAGEM DE FÔRMA PARA VIGA BALDRAME, EM MADEIRA SERRADA, E=25 MM, 4 UTILIZAÇÕES.</v>
      </c>
      <c r="E192" s="59">
        <f>'[1]MEMORIAL DE CÁLCULO'!E178</f>
        <v>25.6</v>
      </c>
      <c r="F192" s="46" t="s">
        <v>10</v>
      </c>
      <c r="G192" s="54">
        <v>31.03</v>
      </c>
      <c r="H192" s="52">
        <v>28.11</v>
      </c>
      <c r="I192" s="53">
        <f t="shared" si="50"/>
        <v>59.14</v>
      </c>
      <c r="J192" s="52">
        <f t="shared" si="51"/>
        <v>1513.98</v>
      </c>
      <c r="K192" s="39">
        <v>0.2387</v>
      </c>
      <c r="L192" s="38">
        <f t="shared" si="52"/>
        <v>983.98</v>
      </c>
      <c r="M192" s="38">
        <f t="shared" si="53"/>
        <v>891.39</v>
      </c>
      <c r="N192" s="38">
        <f t="shared" si="54"/>
        <v>1875.37</v>
      </c>
      <c r="O192" s="34"/>
      <c r="P192" s="34"/>
      <c r="Q192" s="36"/>
      <c r="R192" s="6"/>
      <c r="S192" s="6"/>
      <c r="T192" s="6"/>
      <c r="U192" s="6"/>
      <c r="V192" s="6"/>
      <c r="W192" s="6"/>
      <c r="X192" s="6"/>
      <c r="Y192" s="6"/>
      <c r="Z192" s="6"/>
      <c r="AA192" s="6"/>
      <c r="AB192" s="6"/>
      <c r="AC192" s="6"/>
      <c r="AD192" s="6"/>
      <c r="AE192" s="6"/>
      <c r="AF192" s="6"/>
      <c r="AG192" s="6"/>
      <c r="AH192" s="6"/>
      <c r="AI192" s="6"/>
    </row>
    <row r="193" spans="2:35" s="6" customFormat="1" ht="20.25" customHeight="1" x14ac:dyDescent="0.25">
      <c r="B193" s="47" t="s">
        <v>74</v>
      </c>
      <c r="C193" s="46">
        <f>'[1]MEMORIAL DE CÁLCULO'!C179</f>
        <v>96616</v>
      </c>
      <c r="D193" s="60" t="str">
        <f>'[1]MEMORIAL DE CÁLCULO'!D179</f>
        <v xml:space="preserve">LASTRO DE CONCRETO MAGRO </v>
      </c>
      <c r="E193" s="59">
        <f>'[1]MEMORIAL DE CÁLCULO'!E179</f>
        <v>0.51200000000000012</v>
      </c>
      <c r="F193" s="46" t="s">
        <v>37</v>
      </c>
      <c r="G193" s="42">
        <f>373.5</f>
        <v>373.5</v>
      </c>
      <c r="H193" s="42">
        <v>196.15</v>
      </c>
      <c r="I193" s="41">
        <f t="shared" si="50"/>
        <v>569.65</v>
      </c>
      <c r="J193" s="40">
        <f t="shared" si="51"/>
        <v>291.66000000000003</v>
      </c>
      <c r="K193" s="39">
        <v>0.2387</v>
      </c>
      <c r="L193" s="38">
        <f t="shared" si="52"/>
        <v>236.88</v>
      </c>
      <c r="M193" s="38">
        <f t="shared" si="53"/>
        <v>124.4</v>
      </c>
      <c r="N193" s="38">
        <f t="shared" si="54"/>
        <v>361.28</v>
      </c>
      <c r="O193" s="34"/>
      <c r="P193" s="34"/>
      <c r="Q193" s="36"/>
    </row>
    <row r="194" spans="2:35" s="6" customFormat="1" ht="20.25" customHeight="1" x14ac:dyDescent="0.25">
      <c r="B194" s="47" t="s">
        <v>73</v>
      </c>
      <c r="C194" s="46">
        <f>'[1]MEMORIAL DE CÁLCULO'!C180</f>
        <v>96543</v>
      </c>
      <c r="D194" s="60" t="str">
        <f>'[1]MEMORIAL DE CÁLCULO'!D180</f>
        <v>ARMAÇÃO DE VIGA BALDRAME AÇO CA60 5MM</v>
      </c>
      <c r="E194" s="59">
        <f>'[1]MEMORIAL DE CÁLCULO'!E180</f>
        <v>17.34656</v>
      </c>
      <c r="F194" s="46" t="str">
        <f>'[1]MEMORIAL DE CÁLCULO'!F180</f>
        <v>kg</v>
      </c>
      <c r="G194" s="42">
        <v>13.42</v>
      </c>
      <c r="H194" s="42">
        <v>5.5</v>
      </c>
      <c r="I194" s="41">
        <f t="shared" si="50"/>
        <v>18.920000000000002</v>
      </c>
      <c r="J194" s="40">
        <f t="shared" si="51"/>
        <v>328.2</v>
      </c>
      <c r="K194" s="39">
        <v>0.2387</v>
      </c>
      <c r="L194" s="38">
        <f t="shared" si="52"/>
        <v>288.36</v>
      </c>
      <c r="M194" s="38">
        <f t="shared" si="53"/>
        <v>118.18</v>
      </c>
      <c r="N194" s="38">
        <f t="shared" si="54"/>
        <v>406.54</v>
      </c>
      <c r="O194" s="34"/>
      <c r="P194" s="34"/>
      <c r="Q194" s="36"/>
    </row>
    <row r="195" spans="2:35" s="6" customFormat="1" ht="20.25" customHeight="1" x14ac:dyDescent="0.25">
      <c r="B195" s="47" t="s">
        <v>72</v>
      </c>
      <c r="C195" s="46">
        <f>'[1]MEMORIAL DE CÁLCULO'!C181</f>
        <v>96546</v>
      </c>
      <c r="D195" s="60" t="str">
        <f>'[1]MEMORIAL DE CÁLCULO'!D181</f>
        <v>ARMAÇÃO DE VIGA BALDRAME AÇO CA50 10MM</v>
      </c>
      <c r="E195" s="59">
        <f>'[1]MEMORIAL DE CÁLCULO'!E181</f>
        <v>63.180800000000005</v>
      </c>
      <c r="F195" s="46" t="str">
        <f>'[1]MEMORIAL DE CÁLCULO'!F181</f>
        <v>kg</v>
      </c>
      <c r="G195" s="42">
        <v>13.26</v>
      </c>
      <c r="H195" s="42">
        <v>2.14</v>
      </c>
      <c r="I195" s="41">
        <f t="shared" si="50"/>
        <v>15.4</v>
      </c>
      <c r="J195" s="40">
        <f t="shared" si="51"/>
        <v>972.98</v>
      </c>
      <c r="K195" s="39">
        <v>0.2387</v>
      </c>
      <c r="L195" s="38">
        <f t="shared" si="52"/>
        <v>1037.75</v>
      </c>
      <c r="M195" s="38">
        <f t="shared" si="53"/>
        <v>167.48</v>
      </c>
      <c r="N195" s="38">
        <f t="shared" si="54"/>
        <v>1205.23</v>
      </c>
      <c r="O195" s="34"/>
      <c r="P195" s="34"/>
      <c r="Q195" s="36"/>
    </row>
    <row r="196" spans="2:35" s="6" customFormat="1" ht="20.25" customHeight="1" x14ac:dyDescent="0.25">
      <c r="B196" s="47" t="s">
        <v>71</v>
      </c>
      <c r="C196" s="46">
        <f>'[1]MEMORIAL DE CÁLCULO'!C182</f>
        <v>96546</v>
      </c>
      <c r="D196" s="60" t="str">
        <f>'[1]MEMORIAL DE CÁLCULO'!D182</f>
        <v>ARMAÇÃO DE BLOCO UTILIZANDO AÇO CA-50 DE 10 MM</v>
      </c>
      <c r="E196" s="59">
        <f>'[1]MEMORIAL DE CÁLCULO'!E182</f>
        <v>31.56</v>
      </c>
      <c r="F196" s="46" t="str">
        <f>'[1]MEMORIAL DE CÁLCULO'!F182</f>
        <v>kg</v>
      </c>
      <c r="G196" s="42">
        <v>13.26</v>
      </c>
      <c r="H196" s="42">
        <v>2.14</v>
      </c>
      <c r="I196" s="41">
        <f t="shared" si="50"/>
        <v>15.4</v>
      </c>
      <c r="J196" s="40">
        <f t="shared" si="51"/>
        <v>486.02</v>
      </c>
      <c r="K196" s="39">
        <v>0.2387</v>
      </c>
      <c r="L196" s="38">
        <f t="shared" si="52"/>
        <v>518.38</v>
      </c>
      <c r="M196" s="38">
        <f t="shared" si="53"/>
        <v>83.66</v>
      </c>
      <c r="N196" s="38">
        <f t="shared" si="54"/>
        <v>602.04</v>
      </c>
      <c r="O196" s="34"/>
      <c r="P196" s="34"/>
      <c r="Q196" s="36"/>
    </row>
    <row r="197" spans="2:35" s="6" customFormat="1" ht="30" customHeight="1" x14ac:dyDescent="0.25">
      <c r="B197" s="47" t="s">
        <v>70</v>
      </c>
      <c r="C197" s="57">
        <v>96555</v>
      </c>
      <c r="D197" s="61" t="s">
        <v>38</v>
      </c>
      <c r="E197" s="59">
        <f>'[1]MEMORIAL DE CÁLCULO'!E183</f>
        <v>1.792</v>
      </c>
      <c r="F197" s="46" t="s">
        <v>37</v>
      </c>
      <c r="G197" s="42">
        <f>506.05+3.28+1.79</f>
        <v>511.12</v>
      </c>
      <c r="H197" s="42">
        <v>135.16</v>
      </c>
      <c r="I197" s="41">
        <f t="shared" si="50"/>
        <v>646.28</v>
      </c>
      <c r="J197" s="40">
        <f t="shared" si="51"/>
        <v>1158.1300000000001</v>
      </c>
      <c r="K197" s="39">
        <v>0.2387</v>
      </c>
      <c r="L197" s="38">
        <f t="shared" si="52"/>
        <v>1134.56</v>
      </c>
      <c r="M197" s="38">
        <f t="shared" si="53"/>
        <v>300.02</v>
      </c>
      <c r="N197" s="38">
        <f t="shared" si="54"/>
        <v>1434.58</v>
      </c>
      <c r="O197" s="34"/>
      <c r="P197" s="34"/>
      <c r="Q197" s="36"/>
    </row>
    <row r="198" spans="2:35" s="6" customFormat="1" ht="20.25" customHeight="1" x14ac:dyDescent="0.25">
      <c r="B198" s="47" t="s">
        <v>69</v>
      </c>
      <c r="C198" s="46">
        <f>'[1]MEMORIAL DE CÁLCULO'!C184</f>
        <v>98557</v>
      </c>
      <c r="D198" s="60" t="str">
        <f>'[1]MEMORIAL DE CÁLCULO'!D184</f>
        <v xml:space="preserve">IMPERMEABILIZAÇÃO DE ESTRUTURAS ENTERREADAS </v>
      </c>
      <c r="E198" s="59">
        <f>'[1]MEMORIAL DE CÁLCULO'!E184</f>
        <v>7.68</v>
      </c>
      <c r="F198" s="46" t="s">
        <v>10</v>
      </c>
      <c r="G198" s="42">
        <v>38.299999999999997</v>
      </c>
      <c r="H198" s="42">
        <v>9.33</v>
      </c>
      <c r="I198" s="41">
        <f t="shared" si="50"/>
        <v>47.629999999999995</v>
      </c>
      <c r="J198" s="40">
        <f t="shared" si="51"/>
        <v>365.8</v>
      </c>
      <c r="K198" s="39">
        <v>0.2387</v>
      </c>
      <c r="L198" s="38">
        <f t="shared" si="52"/>
        <v>364.36</v>
      </c>
      <c r="M198" s="38">
        <f t="shared" si="53"/>
        <v>88.76</v>
      </c>
      <c r="N198" s="38">
        <f t="shared" si="54"/>
        <v>453.12</v>
      </c>
      <c r="O198" s="34"/>
      <c r="P198" s="34"/>
      <c r="Q198" s="36"/>
    </row>
    <row r="199" spans="2:35" ht="27.75" customHeight="1" x14ac:dyDescent="0.25">
      <c r="B199" s="47" t="s">
        <v>68</v>
      </c>
      <c r="C199" s="46">
        <f>'[1]MEMORIAL DE CÁLCULO'!C185</f>
        <v>101165</v>
      </c>
      <c r="D199" s="60" t="str">
        <f>'[1]MEMORIAL DE CÁLCULO'!D185</f>
        <v>ALVENARIA DE EMBASAMENTO COM PEDRA GRÊS E ARGAMASSA DE ASSENTAMENTO COM PREPARO EM BETONEIRA.</v>
      </c>
      <c r="E199" s="46">
        <f>'[1]MEMORIAL DE CÁLCULO'!E185</f>
        <v>4.992</v>
      </c>
      <c r="F199" s="46" t="s">
        <v>37</v>
      </c>
      <c r="G199" s="54">
        <f>624.57+0.22+0.15</f>
        <v>624.94000000000005</v>
      </c>
      <c r="H199" s="52">
        <v>266.55</v>
      </c>
      <c r="I199" s="53">
        <f t="shared" si="50"/>
        <v>891.49</v>
      </c>
      <c r="J199" s="52">
        <f t="shared" si="51"/>
        <v>4450.32</v>
      </c>
      <c r="K199" s="39">
        <v>0.2387</v>
      </c>
      <c r="L199" s="38">
        <f t="shared" si="52"/>
        <v>3864.37</v>
      </c>
      <c r="M199" s="38">
        <f t="shared" si="53"/>
        <v>1648.24</v>
      </c>
      <c r="N199" s="38">
        <f t="shared" si="54"/>
        <v>5512.61</v>
      </c>
      <c r="O199" s="34"/>
      <c r="P199" s="34"/>
      <c r="Q199" s="36"/>
      <c r="R199" s="6"/>
      <c r="S199" s="6"/>
      <c r="T199" s="6"/>
      <c r="U199" s="6"/>
      <c r="V199" s="6"/>
      <c r="W199" s="6"/>
      <c r="X199" s="6"/>
      <c r="Y199" s="6"/>
      <c r="Z199" s="6"/>
      <c r="AA199" s="6"/>
      <c r="AB199" s="6"/>
      <c r="AC199" s="6"/>
      <c r="AD199" s="6"/>
      <c r="AE199" s="6"/>
      <c r="AF199" s="6"/>
      <c r="AG199" s="6"/>
      <c r="AH199" s="6"/>
      <c r="AI199" s="6"/>
    </row>
    <row r="200" spans="2:35" s="6" customFormat="1" ht="20.25" customHeight="1" x14ac:dyDescent="0.25">
      <c r="B200" s="47" t="s">
        <v>67</v>
      </c>
      <c r="C200" s="46">
        <f>'[1]MEMORIAL DE CÁLCULO'!C186</f>
        <v>93382</v>
      </c>
      <c r="D200" s="60" t="str">
        <f>'[1]MEMORIAL DE CÁLCULO'!D186</f>
        <v>REATERRO MANUAL DE VALAS COM COMPACTAÇÃO MECANIZADA.</v>
      </c>
      <c r="E200" s="59">
        <f>'[1]MEMORIAL DE CÁLCULO'!E186</f>
        <v>15</v>
      </c>
      <c r="F200" s="46" t="s">
        <v>37</v>
      </c>
      <c r="G200" s="42">
        <f>1.21+8.41</f>
        <v>9.620000000000001</v>
      </c>
      <c r="H200" s="42">
        <v>21.05</v>
      </c>
      <c r="I200" s="41">
        <f t="shared" si="50"/>
        <v>30.67</v>
      </c>
      <c r="J200" s="40">
        <f t="shared" si="51"/>
        <v>460.05</v>
      </c>
      <c r="K200" s="39">
        <v>0.2387</v>
      </c>
      <c r="L200" s="38">
        <f t="shared" si="52"/>
        <v>178.74</v>
      </c>
      <c r="M200" s="38">
        <f t="shared" si="53"/>
        <v>391.12</v>
      </c>
      <c r="N200" s="38">
        <f t="shared" si="54"/>
        <v>569.86</v>
      </c>
      <c r="O200" s="34"/>
      <c r="P200" s="34"/>
      <c r="Q200" s="36"/>
    </row>
    <row r="201" spans="2:35" s="6" customFormat="1" ht="20.25" customHeight="1" x14ac:dyDescent="0.25">
      <c r="B201" s="47" t="s">
        <v>66</v>
      </c>
      <c r="C201" s="46">
        <f>'[1]MEMORIAL DE CÁLCULO'!C187</f>
        <v>6079</v>
      </c>
      <c r="D201" s="60" t="str">
        <f>'[1]MEMORIAL DE CÁLCULO'!D187</f>
        <v>ARGILA, ARGILA VERMELHA OU ARGILA ARENOSA (RETIRADA NA JAZIDA, SEM TRANSPORTE)</v>
      </c>
      <c r="E201" s="59">
        <f>'[1]MEMORIAL DE CÁLCULO'!E187</f>
        <v>15</v>
      </c>
      <c r="F201" s="46" t="s">
        <v>37</v>
      </c>
      <c r="G201" s="42">
        <v>48.82</v>
      </c>
      <c r="H201" s="42">
        <v>0</v>
      </c>
      <c r="I201" s="41">
        <f t="shared" si="50"/>
        <v>48.82</v>
      </c>
      <c r="J201" s="40">
        <f t="shared" si="51"/>
        <v>732.3</v>
      </c>
      <c r="K201" s="39">
        <v>0.2387</v>
      </c>
      <c r="L201" s="38">
        <f t="shared" si="52"/>
        <v>907.1</v>
      </c>
      <c r="M201" s="38">
        <f t="shared" si="53"/>
        <v>0</v>
      </c>
      <c r="N201" s="38">
        <f t="shared" si="54"/>
        <v>907.1</v>
      </c>
      <c r="O201" s="34"/>
      <c r="P201" s="34"/>
      <c r="Q201" s="36"/>
    </row>
    <row r="202" spans="2:35" ht="27.75" customHeight="1" x14ac:dyDescent="0.25">
      <c r="B202" s="47" t="s">
        <v>65</v>
      </c>
      <c r="C202" s="46">
        <f>'[1]MEMORIAL DE CÁLCULO'!C188</f>
        <v>95875</v>
      </c>
      <c r="D202" s="60" t="str">
        <f>'[1]MEMORIAL DE CÁLCULO'!D188</f>
        <v>TRANSPORTE COM CAMINHÃO BASCULANTE DE 10 M³, EM VIA URBANA PAVIMENTADA, DMT ATÉ 30 KM (UNIDADE: M3XKM).</v>
      </c>
      <c r="E202" s="59">
        <f>'[1]MEMORIAL DE CÁLCULO'!E188</f>
        <v>75</v>
      </c>
      <c r="F202" s="46" t="s">
        <v>64</v>
      </c>
      <c r="G202" s="54">
        <f>0.74+1.45</f>
        <v>2.19</v>
      </c>
      <c r="H202" s="52">
        <v>0.23</v>
      </c>
      <c r="I202" s="53">
        <f t="shared" si="50"/>
        <v>2.42</v>
      </c>
      <c r="J202" s="52">
        <f t="shared" si="51"/>
        <v>181.5</v>
      </c>
      <c r="K202" s="39">
        <v>0.2387</v>
      </c>
      <c r="L202" s="38">
        <f t="shared" si="52"/>
        <v>203.46</v>
      </c>
      <c r="M202" s="38">
        <f t="shared" si="53"/>
        <v>21.37</v>
      </c>
      <c r="N202" s="38">
        <f t="shared" si="54"/>
        <v>224.83</v>
      </c>
      <c r="O202" s="34"/>
      <c r="P202" s="34"/>
      <c r="Q202" s="36"/>
      <c r="R202" s="6"/>
      <c r="S202" s="6"/>
      <c r="T202" s="6"/>
      <c r="U202" s="6"/>
      <c r="V202" s="6"/>
      <c r="W202" s="6"/>
      <c r="X202" s="6"/>
      <c r="Y202" s="6"/>
      <c r="Z202" s="6"/>
      <c r="AA202" s="6"/>
      <c r="AB202" s="6"/>
      <c r="AC202" s="6"/>
      <c r="AD202" s="6"/>
      <c r="AE202" s="6"/>
      <c r="AF202" s="6"/>
      <c r="AG202" s="6"/>
      <c r="AH202" s="6"/>
      <c r="AI202" s="6"/>
    </row>
    <row r="203" spans="2:35" ht="27.75" customHeight="1" x14ac:dyDescent="0.25">
      <c r="B203" s="47" t="s">
        <v>63</v>
      </c>
      <c r="C203" s="46">
        <f>'[1]MEMORIAL DE CÁLCULO'!C189</f>
        <v>100977</v>
      </c>
      <c r="D203" s="60" t="str">
        <f>'[1]MEMORIAL DE CÁLCULO'!D189</f>
        <v>CARGA, MANOBRA E DESCARGA DE SOLOS E MATERIAIS GRANULARES EM CAMINHÃO BASCULANTE 6 M³</v>
      </c>
      <c r="E203" s="59">
        <f>'[1]MEMORIAL DE CÁLCULO'!E189</f>
        <v>15</v>
      </c>
      <c r="F203" s="46" t="s">
        <v>37</v>
      </c>
      <c r="G203" s="54">
        <f>2.81+3.32</f>
        <v>6.13</v>
      </c>
      <c r="H203" s="52">
        <v>1.27</v>
      </c>
      <c r="I203" s="53">
        <f t="shared" si="50"/>
        <v>7.4</v>
      </c>
      <c r="J203" s="52">
        <f t="shared" si="51"/>
        <v>111</v>
      </c>
      <c r="K203" s="39">
        <v>0.2387</v>
      </c>
      <c r="L203" s="38">
        <f t="shared" si="52"/>
        <v>113.9</v>
      </c>
      <c r="M203" s="38">
        <f t="shared" si="53"/>
        <v>23.6</v>
      </c>
      <c r="N203" s="38">
        <f t="shared" si="54"/>
        <v>137.5</v>
      </c>
      <c r="O203" s="34"/>
      <c r="P203" s="34"/>
      <c r="Q203" s="36"/>
      <c r="R203" s="6"/>
      <c r="S203" s="6"/>
      <c r="T203" s="6"/>
      <c r="U203" s="6"/>
      <c r="V203" s="6"/>
      <c r="W203" s="6"/>
      <c r="X203" s="6"/>
      <c r="Y203" s="6"/>
      <c r="Z203" s="6"/>
      <c r="AA203" s="6"/>
      <c r="AB203" s="6"/>
      <c r="AC203" s="6"/>
      <c r="AD203" s="6"/>
      <c r="AE203" s="6"/>
      <c r="AF203" s="6"/>
      <c r="AG203" s="6"/>
      <c r="AH203" s="6"/>
      <c r="AI203" s="6"/>
    </row>
    <row r="204" spans="2:35" ht="27.75" customHeight="1" x14ac:dyDescent="0.25">
      <c r="B204" s="47" t="s">
        <v>62</v>
      </c>
      <c r="C204" s="46">
        <f>'[1]MEMORIAL DE CÁLCULO'!C190</f>
        <v>101619</v>
      </c>
      <c r="D204" s="60" t="str">
        <f>'[1]MEMORIAL DE CÁLCULO'!D190</f>
        <v>PREPARO DE FUNDO DE VALA COM LARGURA MENOR QUE 1,5 M, COM CAMADA DE BRITA, LANÇAMENTO MANUAL.</v>
      </c>
      <c r="E204" s="59">
        <f>'[1]MEMORIAL DE CÁLCULO'!E190</f>
        <v>1.25</v>
      </c>
      <c r="F204" s="46" t="s">
        <v>37</v>
      </c>
      <c r="G204" s="54">
        <f>109.73+0.16</f>
        <v>109.89</v>
      </c>
      <c r="H204" s="52">
        <v>100.25</v>
      </c>
      <c r="I204" s="53">
        <f t="shared" si="50"/>
        <v>210.14</v>
      </c>
      <c r="J204" s="52">
        <f t="shared" si="51"/>
        <v>262.68</v>
      </c>
      <c r="K204" s="39">
        <v>0.2387</v>
      </c>
      <c r="L204" s="38">
        <f t="shared" si="52"/>
        <v>170.15</v>
      </c>
      <c r="M204" s="38">
        <f t="shared" si="53"/>
        <v>155.22</v>
      </c>
      <c r="N204" s="38">
        <f t="shared" si="54"/>
        <v>325.37</v>
      </c>
      <c r="O204" s="34"/>
      <c r="P204" s="34"/>
      <c r="Q204" s="36"/>
      <c r="R204" s="6"/>
      <c r="S204" s="6"/>
      <c r="T204" s="6"/>
      <c r="U204" s="6"/>
      <c r="V204" s="6"/>
      <c r="W204" s="6"/>
      <c r="X204" s="6"/>
      <c r="Y204" s="6"/>
      <c r="Z204" s="6"/>
      <c r="AA204" s="6"/>
      <c r="AB204" s="6"/>
      <c r="AC204" s="6"/>
      <c r="AD204" s="6"/>
      <c r="AE204" s="6"/>
      <c r="AF204" s="6"/>
      <c r="AG204" s="6"/>
      <c r="AH204" s="6"/>
      <c r="AI204" s="6"/>
    </row>
    <row r="205" spans="2:35" ht="27.75" customHeight="1" x14ac:dyDescent="0.25">
      <c r="B205" s="47" t="s">
        <v>61</v>
      </c>
      <c r="C205" s="46">
        <f>'[1]MEMORIAL DE CÁLCULO'!C191</f>
        <v>94993</v>
      </c>
      <c r="D205" s="60" t="str">
        <f>'[1]MEMORIAL DE CÁLCULO'!D191</f>
        <v>EXECUÇÃO DE PASSEIO (CALÇADA) OU PISO DE CONCRETO COM CONCRETO MOLDADO IN LOCO, USINADO, ACABAMENTO CONVENCIONAL, ESPESSURA 6 CM, ARMADO INCLUSO LONA PLÁSTICA</v>
      </c>
      <c r="E205" s="59">
        <f>'[1]MEMORIAL DE CÁLCULO'!E191</f>
        <v>12.5</v>
      </c>
      <c r="F205" s="46" t="s">
        <v>10</v>
      </c>
      <c r="G205" s="54">
        <v>83.65</v>
      </c>
      <c r="H205" s="52">
        <v>8.06</v>
      </c>
      <c r="I205" s="53">
        <f t="shared" si="50"/>
        <v>91.710000000000008</v>
      </c>
      <c r="J205" s="52">
        <f t="shared" si="51"/>
        <v>1146.3800000000001</v>
      </c>
      <c r="K205" s="39">
        <v>0.2387</v>
      </c>
      <c r="L205" s="38">
        <f t="shared" si="52"/>
        <v>1295.22</v>
      </c>
      <c r="M205" s="38">
        <f t="shared" si="53"/>
        <v>124.8</v>
      </c>
      <c r="N205" s="38">
        <f t="shared" si="54"/>
        <v>1420.02</v>
      </c>
      <c r="O205" s="34"/>
      <c r="P205" s="34"/>
      <c r="Q205" s="36"/>
      <c r="R205" s="6"/>
      <c r="S205" s="6"/>
      <c r="T205" s="6"/>
      <c r="U205" s="6"/>
      <c r="V205" s="6"/>
      <c r="W205" s="6"/>
      <c r="X205" s="6"/>
      <c r="Y205" s="6"/>
      <c r="Z205" s="6"/>
      <c r="AA205" s="6"/>
      <c r="AB205" s="6"/>
      <c r="AC205" s="6"/>
      <c r="AD205" s="6"/>
      <c r="AE205" s="6"/>
      <c r="AF205" s="6"/>
      <c r="AG205" s="6"/>
      <c r="AH205" s="6"/>
      <c r="AI205" s="6"/>
    </row>
    <row r="206" spans="2:35" ht="27.75" customHeight="1" x14ac:dyDescent="0.25">
      <c r="B206" s="47" t="s">
        <v>60</v>
      </c>
      <c r="C206" s="46">
        <f>'[1]MEMORIAL DE CÁLCULO'!C192</f>
        <v>87620</v>
      </c>
      <c r="D206" s="60" t="str">
        <f>'[1]MEMORIAL DE CÁLCULO'!D192</f>
        <v>CONTRAPISO EM ARGAMASSA TRAÇO 1:4 (CIMENTO E AREIA), PREPARO MECÂNICO COM BETONEIRA 400 L, APLICADO EM ÁREAS SECAS SOBRE LAJE, ADERIDO, ESPESSURA 2CM</v>
      </c>
      <c r="E206" s="59">
        <f>'[1]MEMORIAL DE CÁLCULO'!E192</f>
        <v>12.5</v>
      </c>
      <c r="F206" s="46" t="s">
        <v>10</v>
      </c>
      <c r="G206" s="54">
        <v>21.57</v>
      </c>
      <c r="H206" s="52">
        <v>8.1</v>
      </c>
      <c r="I206" s="53">
        <f t="shared" si="50"/>
        <v>29.67</v>
      </c>
      <c r="J206" s="52">
        <f t="shared" si="51"/>
        <v>370.88</v>
      </c>
      <c r="K206" s="39">
        <v>0.2387</v>
      </c>
      <c r="L206" s="38">
        <f t="shared" si="52"/>
        <v>333.98</v>
      </c>
      <c r="M206" s="38">
        <f t="shared" si="53"/>
        <v>125.42</v>
      </c>
      <c r="N206" s="38">
        <f t="shared" si="54"/>
        <v>459.4</v>
      </c>
      <c r="O206" s="34"/>
      <c r="P206" s="34"/>
      <c r="Q206" s="36"/>
      <c r="R206" s="6"/>
      <c r="S206" s="6"/>
      <c r="T206" s="6"/>
      <c r="U206" s="6"/>
      <c r="V206" s="6"/>
      <c r="W206" s="6"/>
      <c r="X206" s="6"/>
      <c r="Y206" s="6"/>
      <c r="Z206" s="6"/>
      <c r="AA206" s="6"/>
      <c r="AB206" s="6"/>
      <c r="AC206" s="6"/>
      <c r="AD206" s="6"/>
      <c r="AE206" s="6"/>
      <c r="AF206" s="6"/>
      <c r="AG206" s="6"/>
      <c r="AH206" s="6"/>
      <c r="AI206" s="6"/>
    </row>
    <row r="207" spans="2:35" ht="27.75" customHeight="1" x14ac:dyDescent="0.25">
      <c r="B207" s="47" t="s">
        <v>59</v>
      </c>
      <c r="C207" s="46">
        <f>'[1]MEMORIAL DE CÁLCULO'!C193</f>
        <v>87879</v>
      </c>
      <c r="D207" s="60" t="str">
        <f>'[1]MEMORIAL DE CÁLCULO'!D193</f>
        <v>CHAPISCO APLICADO EM ALVENARIAS E ESTRUTURAS DE CONCRETO INTERNAS, COM COLHER DE PEDREIRO. ARGAMASSA TRAÇO 1:3 COM PREPARO EM BETONEIRA 400L.</v>
      </c>
      <c r="E207" s="59">
        <f>'[1]MEMORIAL DE CÁLCULO'!E193</f>
        <v>33</v>
      </c>
      <c r="F207" s="46" t="s">
        <v>10</v>
      </c>
      <c r="G207" s="54">
        <v>2.1800000000000002</v>
      </c>
      <c r="H207" s="52">
        <v>1.71</v>
      </c>
      <c r="I207" s="53">
        <f t="shared" si="50"/>
        <v>3.89</v>
      </c>
      <c r="J207" s="52">
        <f t="shared" si="51"/>
        <v>128.37</v>
      </c>
      <c r="K207" s="39">
        <v>0.2387</v>
      </c>
      <c r="L207" s="38">
        <f t="shared" si="52"/>
        <v>89.11</v>
      </c>
      <c r="M207" s="38">
        <f t="shared" si="53"/>
        <v>69.900000000000006</v>
      </c>
      <c r="N207" s="38">
        <f t="shared" si="54"/>
        <v>159.01</v>
      </c>
      <c r="O207" s="34"/>
      <c r="P207" s="34"/>
      <c r="Q207" s="36"/>
      <c r="R207" s="6"/>
      <c r="S207" s="6"/>
      <c r="T207" s="6"/>
      <c r="U207" s="6"/>
      <c r="V207" s="6"/>
      <c r="W207" s="6"/>
      <c r="X207" s="6"/>
      <c r="Y207" s="6"/>
      <c r="Z207" s="6"/>
      <c r="AA207" s="6"/>
      <c r="AB207" s="6"/>
      <c r="AC207" s="6"/>
      <c r="AD207" s="6"/>
      <c r="AE207" s="6"/>
      <c r="AF207" s="6"/>
      <c r="AG207" s="6"/>
      <c r="AH207" s="6"/>
      <c r="AI207" s="6"/>
    </row>
    <row r="208" spans="2:35" s="6" customFormat="1" ht="20.25" customHeight="1" x14ac:dyDescent="0.25">
      <c r="B208" s="47" t="s">
        <v>58</v>
      </c>
      <c r="C208" s="46">
        <f>'[1]MEMORIAL DE CÁLCULO'!C194</f>
        <v>87529</v>
      </c>
      <c r="D208" s="60" t="str">
        <f>'[1]MEMORIAL DE CÁLCULO'!D194</f>
        <v>MASSA ÚNICA</v>
      </c>
      <c r="E208" s="59">
        <f>'[1]MEMORIAL DE CÁLCULO'!E194</f>
        <v>33</v>
      </c>
      <c r="F208" s="46" t="s">
        <v>10</v>
      </c>
      <c r="G208" s="42">
        <f>18.19+0.09</f>
        <v>18.28</v>
      </c>
      <c r="H208" s="42">
        <v>13.95</v>
      </c>
      <c r="I208" s="41">
        <f t="shared" si="50"/>
        <v>32.230000000000004</v>
      </c>
      <c r="J208" s="40">
        <f t="shared" si="51"/>
        <v>1063.5899999999999</v>
      </c>
      <c r="K208" s="39">
        <v>0.2387</v>
      </c>
      <c r="L208" s="38">
        <f t="shared" si="52"/>
        <v>747.23</v>
      </c>
      <c r="M208" s="38">
        <f t="shared" si="53"/>
        <v>570.24</v>
      </c>
      <c r="N208" s="38">
        <f t="shared" si="54"/>
        <v>1317.47</v>
      </c>
      <c r="O208" s="34"/>
      <c r="P208" s="34"/>
      <c r="Q208" s="36"/>
    </row>
    <row r="209" spans="2:35" s="6" customFormat="1" ht="20.25" customHeight="1" x14ac:dyDescent="0.25">
      <c r="B209" s="47" t="s">
        <v>57</v>
      </c>
      <c r="C209" s="46">
        <f>'[1]MEMORIAL DE CÁLCULO'!C195</f>
        <v>88412</v>
      </c>
      <c r="D209" s="60" t="str">
        <f>'[1]MEMORIAL DE CÁLCULO'!D195</f>
        <v>APLICAÇÃO MANUAL DE FUNDO SELADOR ACRÍLICO</v>
      </c>
      <c r="E209" s="59">
        <f>'[1]MEMORIAL DE CÁLCULO'!E195</f>
        <v>33</v>
      </c>
      <c r="F209" s="46" t="s">
        <v>10</v>
      </c>
      <c r="G209" s="42">
        <v>1.51</v>
      </c>
      <c r="H209" s="42">
        <v>0.52</v>
      </c>
      <c r="I209" s="41">
        <f t="shared" si="50"/>
        <v>2.0300000000000002</v>
      </c>
      <c r="J209" s="40">
        <f t="shared" si="51"/>
        <v>66.989999999999995</v>
      </c>
      <c r="K209" s="39">
        <v>0.2387</v>
      </c>
      <c r="L209" s="38">
        <f t="shared" si="52"/>
        <v>61.72</v>
      </c>
      <c r="M209" s="38">
        <f t="shared" si="53"/>
        <v>21.26</v>
      </c>
      <c r="N209" s="38">
        <f t="shared" si="54"/>
        <v>82.98</v>
      </c>
      <c r="O209" s="34"/>
      <c r="P209" s="34"/>
      <c r="Q209" s="36"/>
    </row>
    <row r="210" spans="2:35" ht="27.75" customHeight="1" x14ac:dyDescent="0.25">
      <c r="B210" s="47" t="s">
        <v>56</v>
      </c>
      <c r="C210" s="46">
        <f>'[1]MEMORIAL DE CÁLCULO'!C196</f>
        <v>95626</v>
      </c>
      <c r="D210" s="60" t="str">
        <f>'[1]MEMORIAL DE CÁLCULO'!D196</f>
        <v>APLICAÇÃO MANUAL DE TINTA LÁTEX ACRÍLICA EM PAREDE EXTERNAS DE CASAS, DUAS DEMÃOS.</v>
      </c>
      <c r="E210" s="59">
        <f>'[1]MEMORIAL DE CÁLCULO'!E196</f>
        <v>33</v>
      </c>
      <c r="F210" s="46" t="s">
        <v>10</v>
      </c>
      <c r="G210" s="54">
        <v>8.17</v>
      </c>
      <c r="H210" s="52">
        <v>7.35</v>
      </c>
      <c r="I210" s="53">
        <f t="shared" si="50"/>
        <v>15.52</v>
      </c>
      <c r="J210" s="52">
        <f t="shared" si="51"/>
        <v>512.16</v>
      </c>
      <c r="K210" s="39">
        <v>0.2387</v>
      </c>
      <c r="L210" s="38">
        <f t="shared" si="52"/>
        <v>333.97</v>
      </c>
      <c r="M210" s="38">
        <f t="shared" si="53"/>
        <v>300.45</v>
      </c>
      <c r="N210" s="38">
        <f t="shared" si="54"/>
        <v>634.41999999999996</v>
      </c>
      <c r="O210" s="34"/>
      <c r="P210" s="34"/>
      <c r="Q210" s="36"/>
      <c r="R210" s="6"/>
      <c r="S210" s="6"/>
      <c r="T210" s="6"/>
      <c r="U210" s="6"/>
      <c r="V210" s="6"/>
      <c r="W210" s="6"/>
      <c r="X210" s="6"/>
      <c r="Y210" s="6"/>
      <c r="Z210" s="6"/>
      <c r="AA210" s="6"/>
      <c r="AB210" s="6"/>
      <c r="AC210" s="6"/>
      <c r="AD210" s="6"/>
      <c r="AE210" s="6"/>
      <c r="AF210" s="6"/>
      <c r="AG210" s="6"/>
      <c r="AH210" s="6"/>
      <c r="AI210" s="6"/>
    </row>
    <row r="211" spans="2:35" ht="27.75" customHeight="1" x14ac:dyDescent="0.25">
      <c r="B211" s="47" t="s">
        <v>55</v>
      </c>
      <c r="C211" s="46" t="s">
        <v>54</v>
      </c>
      <c r="D211" s="60" t="str">
        <f>'[1]MEMORIAL DE CÁLCULO'!D197</f>
        <v>CORRIMÃO E MONTANTE, DIÂMETRO EXTERNO = 1 1/2", EM AÇO GALVANIZADO PARA RAMPA DE ACESSO CONFORME PROJETO</v>
      </c>
      <c r="E211" s="59">
        <f>'[1]MEMORIAL DE CÁLCULO'!E197</f>
        <v>43</v>
      </c>
      <c r="F211" s="46" t="s">
        <v>22</v>
      </c>
      <c r="G211" s="54">
        <f>'[1]COMPOSIÇÕES PRÓPRIAS'!J222</f>
        <v>150.70131999999995</v>
      </c>
      <c r="H211" s="54">
        <f>'[1]COMPOSIÇÕES PRÓPRIAS'!K222</f>
        <v>71.324039999999997</v>
      </c>
      <c r="I211" s="53">
        <f t="shared" si="50"/>
        <v>222.02535999999995</v>
      </c>
      <c r="J211" s="52">
        <f t="shared" si="51"/>
        <v>9547.09</v>
      </c>
      <c r="K211" s="39">
        <v>0.2387</v>
      </c>
      <c r="L211" s="38">
        <f t="shared" si="52"/>
        <v>8026.97</v>
      </c>
      <c r="M211" s="38">
        <f t="shared" si="53"/>
        <v>3799.01</v>
      </c>
      <c r="N211" s="38">
        <f t="shared" si="54"/>
        <v>11825.98</v>
      </c>
      <c r="O211" s="34"/>
      <c r="P211" s="34"/>
      <c r="Q211" s="36"/>
      <c r="R211" s="6"/>
      <c r="S211" s="6"/>
      <c r="T211" s="6"/>
      <c r="U211" s="6"/>
      <c r="V211" s="6"/>
      <c r="W211" s="6"/>
      <c r="X211" s="6"/>
      <c r="Y211" s="6"/>
      <c r="Z211" s="6"/>
      <c r="AA211" s="6"/>
      <c r="AB211" s="6"/>
      <c r="AC211" s="6"/>
      <c r="AD211" s="6"/>
      <c r="AE211" s="6"/>
      <c r="AF211" s="6"/>
      <c r="AG211" s="6"/>
      <c r="AH211" s="6"/>
      <c r="AI211" s="6"/>
    </row>
    <row r="212" spans="2:35" ht="27.75" customHeight="1" x14ac:dyDescent="0.25">
      <c r="B212" s="47" t="s">
        <v>53</v>
      </c>
      <c r="C212" s="46">
        <f>'[1]MEMORIAL DE CÁLCULO'!C198</f>
        <v>99837</v>
      </c>
      <c r="D212" s="60" t="str">
        <f>'[1]MEMORIAL DE CÁLCULO'!D198</f>
        <v xml:space="preserve">GUARDA-CORPO DE AÇO GALVANIZADO DE 1,10M, DUPLO CORRIMÃO, MONTANTES TUBULARES DE 1.1/4" ESPAÇADOS 1,20M, TRAVESSA SUPERIOR DE 1.1/2", GRADIL DE TUBOS HORIZONTAIS DE 1" E VERTICAIS DE 3/4", FIXADO COM CHUMBADOR MECÂNICO. </v>
      </c>
      <c r="E212" s="59">
        <f>'[1]MEMORIAL DE CÁLCULO'!E198</f>
        <v>43</v>
      </c>
      <c r="F212" s="46" t="str">
        <f>'[1]MEMORIAL DE CÁLCULO'!F198</f>
        <v>m</v>
      </c>
      <c r="G212" s="54">
        <v>491.02</v>
      </c>
      <c r="H212" s="52">
        <v>165.78</v>
      </c>
      <c r="I212" s="53">
        <f t="shared" si="50"/>
        <v>656.8</v>
      </c>
      <c r="J212" s="52">
        <f t="shared" si="51"/>
        <v>28242.400000000001</v>
      </c>
      <c r="K212" s="39">
        <v>0.2387</v>
      </c>
      <c r="L212" s="38">
        <f t="shared" si="52"/>
        <v>26153.74</v>
      </c>
      <c r="M212" s="38">
        <f t="shared" si="53"/>
        <v>8830.1200000000008</v>
      </c>
      <c r="N212" s="38">
        <f t="shared" si="54"/>
        <v>34983.86</v>
      </c>
      <c r="O212" s="34"/>
      <c r="P212" s="34"/>
      <c r="Q212" s="36"/>
      <c r="R212" s="6"/>
      <c r="S212" s="6"/>
      <c r="T212" s="6"/>
      <c r="U212" s="6"/>
      <c r="V212" s="6"/>
      <c r="W212" s="6"/>
      <c r="X212" s="6"/>
      <c r="Y212" s="6"/>
      <c r="Z212" s="6"/>
      <c r="AA212" s="6"/>
      <c r="AB212" s="6"/>
      <c r="AC212" s="6"/>
      <c r="AD212" s="6"/>
      <c r="AE212" s="6"/>
      <c r="AF212" s="6"/>
      <c r="AG212" s="6"/>
      <c r="AH212" s="6"/>
      <c r="AI212" s="6"/>
    </row>
    <row r="213" spans="2:35" ht="27.75" customHeight="1" x14ac:dyDescent="0.25">
      <c r="B213" s="47" t="s">
        <v>52</v>
      </c>
      <c r="C213" s="46">
        <f>'[1]MEMORIAL DE CÁLCULO'!C199</f>
        <v>100722</v>
      </c>
      <c r="D213" s="60" t="str">
        <f>'[1]MEMORIAL DE CÁLCULO'!D199</f>
        <v>PINTURA COM TINTA ALQUÍDICA DE FUNDO, TIPO ZARCÃO, APLICADA SOBRE SUPERFÍCIES METÁLICAS - CORRIMÃO</v>
      </c>
      <c r="E213" s="59">
        <f>'[1]MEMORIAL DE CÁLCULO'!E199</f>
        <v>43</v>
      </c>
      <c r="F213" s="46" t="s">
        <v>10</v>
      </c>
      <c r="G213" s="54">
        <v>8.73</v>
      </c>
      <c r="H213" s="52">
        <v>12.08</v>
      </c>
      <c r="I213" s="53">
        <f t="shared" si="50"/>
        <v>20.810000000000002</v>
      </c>
      <c r="J213" s="52">
        <f t="shared" si="51"/>
        <v>894.83</v>
      </c>
      <c r="K213" s="39">
        <v>0.2387</v>
      </c>
      <c r="L213" s="38">
        <f t="shared" si="52"/>
        <v>465</v>
      </c>
      <c r="M213" s="38">
        <f t="shared" si="53"/>
        <v>643.42999999999995</v>
      </c>
      <c r="N213" s="38">
        <f t="shared" si="54"/>
        <v>1108.43</v>
      </c>
      <c r="O213" s="34"/>
      <c r="P213" s="34"/>
      <c r="Q213" s="36"/>
      <c r="R213" s="6"/>
      <c r="S213" s="6"/>
      <c r="T213" s="6"/>
      <c r="U213" s="6"/>
      <c r="V213" s="6"/>
      <c r="W213" s="6"/>
      <c r="X213" s="6"/>
      <c r="Y213" s="6"/>
      <c r="Z213" s="6"/>
      <c r="AA213" s="6"/>
      <c r="AB213" s="6"/>
      <c r="AC213" s="6"/>
      <c r="AD213" s="6"/>
      <c r="AE213" s="6"/>
      <c r="AF213" s="6"/>
      <c r="AG213" s="6"/>
      <c r="AH213" s="6"/>
      <c r="AI213" s="6"/>
    </row>
    <row r="214" spans="2:35" ht="27.75" customHeight="1" x14ac:dyDescent="0.25">
      <c r="B214" s="47" t="s">
        <v>51</v>
      </c>
      <c r="C214" s="46">
        <f>'[1]MEMORIAL DE CÁLCULO'!C200</f>
        <v>100745</v>
      </c>
      <c r="D214" s="60" t="str">
        <f>'[1]MEMORIAL DE CÁLCULO'!D200</f>
        <v>PINTURA COM TINTA ALQUÍDICA DE ACABAMENTO (ESMALTE SINTÉTICO BRILHANTE) SOBRE SUPERFÍCIES METÁLICAS - CORRIMÃO</v>
      </c>
      <c r="E214" s="59">
        <f>'[1]MEMORIAL DE CÁLCULO'!E200</f>
        <v>43</v>
      </c>
      <c r="F214" s="46" t="s">
        <v>10</v>
      </c>
      <c r="G214" s="54">
        <v>12.38</v>
      </c>
      <c r="H214" s="52">
        <v>9.3800000000000008</v>
      </c>
      <c r="I214" s="53">
        <f t="shared" si="50"/>
        <v>21.76</v>
      </c>
      <c r="J214" s="52">
        <f t="shared" si="51"/>
        <v>935.68</v>
      </c>
      <c r="K214" s="39">
        <v>0.2387</v>
      </c>
      <c r="L214" s="38">
        <f t="shared" si="52"/>
        <v>659.41</v>
      </c>
      <c r="M214" s="38">
        <f t="shared" si="53"/>
        <v>499.62</v>
      </c>
      <c r="N214" s="38">
        <f t="shared" si="54"/>
        <v>1159.03</v>
      </c>
      <c r="O214" s="34"/>
      <c r="P214" s="34"/>
      <c r="Q214" s="36"/>
      <c r="R214" s="6"/>
      <c r="S214" s="6"/>
      <c r="T214" s="6"/>
      <c r="U214" s="6"/>
      <c r="V214" s="6"/>
      <c r="W214" s="6"/>
      <c r="X214" s="6"/>
      <c r="Y214" s="6"/>
      <c r="Z214" s="6"/>
      <c r="AA214" s="6"/>
      <c r="AB214" s="6"/>
      <c r="AC214" s="6"/>
      <c r="AD214" s="6"/>
      <c r="AE214" s="6"/>
      <c r="AF214" s="6"/>
      <c r="AG214" s="6"/>
      <c r="AH214" s="6"/>
      <c r="AI214" s="6"/>
    </row>
    <row r="215" spans="2:35" ht="27.75" customHeight="1" x14ac:dyDescent="0.25">
      <c r="B215" s="47" t="s">
        <v>50</v>
      </c>
      <c r="C215" s="46">
        <f>'[1]MEMORIAL DE CÁLCULO'!C201</f>
        <v>101094</v>
      </c>
      <c r="D215" s="60" t="str">
        <f>'[1]MEMORIAL DE CÁLCULO'!D201</f>
        <v>PISO PODOTÁTIL, DIRECIONAL OU ALERTA, DE CONCRETO 25X25X2,5CM, ASSENTADO SOBRE ARGAMASSA. CONFORME PROJETO</v>
      </c>
      <c r="E215" s="59">
        <f>'[1]MEMORIAL DE CÁLCULO'!E201</f>
        <v>22</v>
      </c>
      <c r="F215" s="46" t="str">
        <f>'[1]MEMORIAL DE CÁLCULO'!F201</f>
        <v>m</v>
      </c>
      <c r="G215" s="54">
        <v>143.97999999999999</v>
      </c>
      <c r="H215" s="52">
        <v>10.87</v>
      </c>
      <c r="I215" s="53">
        <f t="shared" si="50"/>
        <v>154.85</v>
      </c>
      <c r="J215" s="52">
        <f t="shared" si="51"/>
        <v>3406.7</v>
      </c>
      <c r="K215" s="39">
        <v>0.2387</v>
      </c>
      <c r="L215" s="38">
        <f t="shared" si="52"/>
        <v>3923.66</v>
      </c>
      <c r="M215" s="38">
        <f t="shared" si="53"/>
        <v>296.22000000000003</v>
      </c>
      <c r="N215" s="38">
        <f t="shared" si="54"/>
        <v>4219.88</v>
      </c>
      <c r="O215" s="34"/>
      <c r="P215" s="34"/>
      <c r="Q215" s="36"/>
      <c r="R215" s="6"/>
      <c r="S215" s="6"/>
      <c r="T215" s="6"/>
      <c r="U215" s="6"/>
      <c r="V215" s="6"/>
      <c r="W215" s="6"/>
      <c r="X215" s="6"/>
      <c r="Y215" s="6"/>
      <c r="Z215" s="6"/>
      <c r="AA215" s="6"/>
      <c r="AB215" s="6"/>
      <c r="AC215" s="6"/>
      <c r="AD215" s="6"/>
      <c r="AE215" s="6"/>
      <c r="AF215" s="6"/>
      <c r="AG215" s="6"/>
      <c r="AH215" s="6"/>
      <c r="AI215" s="6"/>
    </row>
    <row r="216" spans="2:35" ht="27.75" customHeight="1" x14ac:dyDescent="0.25">
      <c r="B216" s="47" t="s">
        <v>49</v>
      </c>
      <c r="C216" s="57">
        <v>102073</v>
      </c>
      <c r="D216" s="56" t="s">
        <v>48</v>
      </c>
      <c r="E216" s="44">
        <v>5.93</v>
      </c>
      <c r="F216" s="55" t="s">
        <v>37</v>
      </c>
      <c r="G216" s="54">
        <v>2687.25</v>
      </c>
      <c r="H216" s="52">
        <v>893.8</v>
      </c>
      <c r="I216" s="53">
        <f t="shared" si="50"/>
        <v>3581.05</v>
      </c>
      <c r="J216" s="52">
        <f t="shared" si="51"/>
        <v>21235.63</v>
      </c>
      <c r="K216" s="39">
        <v>0.2387</v>
      </c>
      <c r="L216" s="38">
        <f t="shared" si="52"/>
        <v>19739.169999999998</v>
      </c>
      <c r="M216" s="38">
        <f t="shared" si="53"/>
        <v>6565.4</v>
      </c>
      <c r="N216" s="38">
        <f t="shared" si="54"/>
        <v>26304.57</v>
      </c>
      <c r="O216" s="34"/>
      <c r="P216" s="34"/>
      <c r="Q216" s="36"/>
      <c r="R216" s="6"/>
      <c r="S216" s="6"/>
      <c r="T216" s="6"/>
      <c r="U216" s="6"/>
      <c r="V216" s="6"/>
      <c r="W216" s="6"/>
      <c r="X216" s="6"/>
      <c r="Y216" s="6"/>
      <c r="Z216" s="6"/>
      <c r="AA216" s="6"/>
      <c r="AB216" s="6"/>
      <c r="AC216" s="6"/>
      <c r="AD216" s="6"/>
      <c r="AE216" s="6"/>
      <c r="AF216" s="6"/>
      <c r="AG216" s="6"/>
      <c r="AH216" s="6"/>
      <c r="AI216" s="6"/>
    </row>
    <row r="217" spans="2:35" ht="20.25" customHeight="1" x14ac:dyDescent="0.25">
      <c r="B217" s="107" t="s">
        <v>47</v>
      </c>
      <c r="C217" s="108"/>
      <c r="D217" s="108"/>
      <c r="E217" s="108"/>
      <c r="F217" s="108"/>
      <c r="G217" s="108"/>
      <c r="H217" s="108"/>
      <c r="I217" s="108"/>
      <c r="J217" s="108"/>
      <c r="K217" s="108"/>
      <c r="L217" s="37">
        <f>SUM(L191:L216)</f>
        <v>71987.8</v>
      </c>
      <c r="M217" s="37">
        <f>SUM(M191:M216)</f>
        <v>26091.9</v>
      </c>
      <c r="N217" s="37">
        <f>SUM(N191:N216)</f>
        <v>98079.699999999983</v>
      </c>
      <c r="O217" s="34"/>
      <c r="P217" s="34"/>
      <c r="Q217" s="36"/>
      <c r="R217" s="6"/>
      <c r="S217" s="6"/>
      <c r="T217" s="6"/>
      <c r="U217" s="6"/>
      <c r="V217" s="6"/>
      <c r="W217" s="6"/>
      <c r="X217" s="6"/>
      <c r="Y217" s="6"/>
      <c r="Z217" s="6"/>
      <c r="AA217" s="6"/>
      <c r="AB217" s="6"/>
      <c r="AC217" s="6"/>
      <c r="AD217" s="6"/>
      <c r="AE217" s="6"/>
      <c r="AF217" s="6"/>
      <c r="AG217" s="6"/>
      <c r="AH217" s="6"/>
      <c r="AI217" s="6"/>
    </row>
    <row r="218" spans="2:35" ht="20.25" customHeight="1" x14ac:dyDescent="0.25">
      <c r="B218" s="51">
        <v>18</v>
      </c>
      <c r="C218" s="49" t="s">
        <v>46</v>
      </c>
      <c r="D218" s="49"/>
      <c r="E218" s="49"/>
      <c r="F218" s="50"/>
      <c r="G218" s="50"/>
      <c r="H218" s="50"/>
      <c r="I218" s="49"/>
      <c r="J218" s="49"/>
      <c r="K218" s="49"/>
      <c r="L218" s="49"/>
      <c r="M218" s="49"/>
      <c r="N218" s="48"/>
      <c r="O218" s="34"/>
      <c r="P218" s="34"/>
      <c r="Q218" s="36"/>
      <c r="R218" s="6"/>
      <c r="S218" s="6"/>
      <c r="T218" s="6"/>
      <c r="U218" s="6"/>
      <c r="V218" s="6"/>
      <c r="W218" s="6"/>
      <c r="X218" s="6"/>
      <c r="Y218" s="6"/>
      <c r="Z218" s="6"/>
      <c r="AA218" s="6"/>
      <c r="AB218" s="6"/>
      <c r="AC218" s="6"/>
      <c r="AD218" s="6"/>
      <c r="AE218" s="6"/>
      <c r="AF218" s="6"/>
      <c r="AG218" s="6"/>
      <c r="AH218" s="6"/>
      <c r="AI218" s="6"/>
    </row>
    <row r="219" spans="2:35" ht="27.75" customHeight="1" x14ac:dyDescent="0.25">
      <c r="B219" s="47" t="s">
        <v>12</v>
      </c>
      <c r="C219" s="57">
        <v>96521</v>
      </c>
      <c r="D219" s="56" t="s">
        <v>45</v>
      </c>
      <c r="E219" s="44">
        <f>'[1]MEMORIAL DE CÁLCULO'!E203</f>
        <v>5.52</v>
      </c>
      <c r="F219" s="55" t="s">
        <v>37</v>
      </c>
      <c r="G219" s="54">
        <f>16.72+15.4</f>
        <v>32.119999999999997</v>
      </c>
      <c r="H219" s="52">
        <v>13.85</v>
      </c>
      <c r="I219" s="53">
        <f>G219+H219</f>
        <v>45.97</v>
      </c>
      <c r="J219" s="52">
        <f>ROUND(I219*E219,2)</f>
        <v>253.75</v>
      </c>
      <c r="K219" s="39">
        <v>0.2387</v>
      </c>
      <c r="L219" s="38">
        <f t="shared" ref="L219:L230" si="55">ROUND((1+K219)*E219*G219,2)</f>
        <v>219.62</v>
      </c>
      <c r="M219" s="38">
        <f t="shared" ref="M219:M230" si="56">ROUND((1+K219)*E219*H219,2)</f>
        <v>94.7</v>
      </c>
      <c r="N219" s="38">
        <f t="shared" ref="N219:N230" si="57">ROUND(L219+M219,2)</f>
        <v>314.32</v>
      </c>
      <c r="O219" s="34"/>
      <c r="P219" s="34"/>
      <c r="Q219" s="36"/>
      <c r="R219" s="6"/>
      <c r="S219" s="6"/>
      <c r="T219" s="6"/>
      <c r="U219" s="6"/>
      <c r="V219" s="6"/>
      <c r="W219" s="6"/>
      <c r="X219" s="6"/>
      <c r="Y219" s="6"/>
      <c r="Z219" s="6"/>
      <c r="AA219" s="6"/>
      <c r="AB219" s="6"/>
      <c r="AC219" s="6"/>
      <c r="AD219" s="6"/>
      <c r="AE219" s="6"/>
      <c r="AF219" s="6"/>
      <c r="AG219" s="6"/>
      <c r="AH219" s="6"/>
      <c r="AI219" s="6"/>
    </row>
    <row r="220" spans="2:35" ht="20.25" customHeight="1" x14ac:dyDescent="0.25">
      <c r="B220" s="47" t="s">
        <v>18</v>
      </c>
      <c r="C220" s="57">
        <v>98525</v>
      </c>
      <c r="D220" s="56" t="s">
        <v>44</v>
      </c>
      <c r="E220" s="44">
        <v>540</v>
      </c>
      <c r="F220" s="55" t="s">
        <v>10</v>
      </c>
      <c r="G220" s="54">
        <v>0.2</v>
      </c>
      <c r="H220" s="52">
        <v>0.19</v>
      </c>
      <c r="I220" s="53">
        <f>G220+H220</f>
        <v>0.39</v>
      </c>
      <c r="J220" s="52">
        <f>ROUND(I220*E220,2)</f>
        <v>210.6</v>
      </c>
      <c r="K220" s="39">
        <v>0.2387</v>
      </c>
      <c r="L220" s="38">
        <f t="shared" si="55"/>
        <v>133.78</v>
      </c>
      <c r="M220" s="38">
        <f t="shared" si="56"/>
        <v>127.09</v>
      </c>
      <c r="N220" s="38">
        <f t="shared" si="57"/>
        <v>260.87</v>
      </c>
      <c r="O220" s="34"/>
      <c r="P220" s="34"/>
      <c r="Q220" s="36"/>
      <c r="R220" s="6"/>
      <c r="S220" s="6"/>
      <c r="T220" s="6"/>
      <c r="U220" s="6"/>
      <c r="V220" s="6"/>
      <c r="W220" s="6"/>
      <c r="X220" s="6"/>
      <c r="Y220" s="6"/>
      <c r="Z220" s="6"/>
      <c r="AA220" s="6"/>
      <c r="AB220" s="6"/>
      <c r="AC220" s="6"/>
      <c r="AD220" s="6"/>
      <c r="AE220" s="6"/>
      <c r="AF220" s="6"/>
      <c r="AG220" s="6"/>
      <c r="AH220" s="6"/>
      <c r="AI220" s="6"/>
    </row>
    <row r="221" spans="2:35" ht="27.75" customHeight="1" x14ac:dyDescent="0.25">
      <c r="B221" s="47" t="s">
        <v>16</v>
      </c>
      <c r="C221" s="57">
        <v>96536</v>
      </c>
      <c r="D221" s="56" t="s">
        <v>43</v>
      </c>
      <c r="E221" s="44">
        <f>'[1]MEMORIAL DE CÁLCULO'!E204</f>
        <v>101.2</v>
      </c>
      <c r="F221" s="55" t="s">
        <v>10</v>
      </c>
      <c r="G221" s="54">
        <v>31.03</v>
      </c>
      <c r="H221" s="52">
        <v>28.11</v>
      </c>
      <c r="I221" s="53">
        <f>G221+H221</f>
        <v>59.14</v>
      </c>
      <c r="J221" s="52">
        <f>ROUND(I221*E221,2)</f>
        <v>5984.97</v>
      </c>
      <c r="K221" s="39">
        <v>0.2387</v>
      </c>
      <c r="L221" s="38">
        <f t="shared" si="55"/>
        <v>3889.81</v>
      </c>
      <c r="M221" s="38">
        <f t="shared" si="56"/>
        <v>3523.77</v>
      </c>
      <c r="N221" s="38">
        <f t="shared" si="57"/>
        <v>7413.58</v>
      </c>
      <c r="O221" s="34"/>
      <c r="P221" s="34"/>
      <c r="Q221" s="36"/>
      <c r="R221" s="6"/>
      <c r="S221" s="6"/>
      <c r="T221" s="6"/>
      <c r="U221" s="6"/>
      <c r="V221" s="6"/>
      <c r="W221" s="6"/>
      <c r="X221" s="6"/>
      <c r="Y221" s="6"/>
      <c r="Z221" s="6"/>
      <c r="AA221" s="6"/>
      <c r="AB221" s="6"/>
      <c r="AC221" s="6"/>
      <c r="AD221" s="6"/>
      <c r="AE221" s="6"/>
      <c r="AF221" s="6"/>
      <c r="AG221" s="6"/>
      <c r="AH221" s="6"/>
      <c r="AI221" s="6"/>
    </row>
    <row r="222" spans="2:35" ht="30" customHeight="1" x14ac:dyDescent="0.25">
      <c r="B222" s="47" t="s">
        <v>42</v>
      </c>
      <c r="C222" s="57">
        <v>96545</v>
      </c>
      <c r="D222" s="56" t="s">
        <v>41</v>
      </c>
      <c r="E222" s="44">
        <f>'[1]MEMORIAL DE CÁLCULO'!E205</f>
        <v>145.36000000000001</v>
      </c>
      <c r="F222" s="55" t="s">
        <v>40</v>
      </c>
      <c r="G222" s="54">
        <v>14.26</v>
      </c>
      <c r="H222" s="52">
        <v>2.87</v>
      </c>
      <c r="I222" s="53">
        <f>G222+H222</f>
        <v>17.13</v>
      </c>
      <c r="J222" s="52">
        <f>ROUND(I222*E222,2)</f>
        <v>2490.02</v>
      </c>
      <c r="K222" s="39">
        <v>0.2387</v>
      </c>
      <c r="L222" s="38">
        <f t="shared" si="55"/>
        <v>2567.62</v>
      </c>
      <c r="M222" s="38">
        <f t="shared" si="56"/>
        <v>516.76</v>
      </c>
      <c r="N222" s="38">
        <f t="shared" si="57"/>
        <v>3084.38</v>
      </c>
      <c r="O222" s="34"/>
      <c r="P222" s="34"/>
      <c r="Q222" s="36"/>
      <c r="R222" s="6"/>
      <c r="S222" s="6"/>
      <c r="T222" s="6"/>
      <c r="U222" s="6"/>
      <c r="V222" s="6"/>
      <c r="W222" s="6"/>
      <c r="X222" s="6"/>
      <c r="Y222" s="6"/>
      <c r="Z222" s="6"/>
      <c r="AA222" s="6"/>
      <c r="AB222" s="6"/>
      <c r="AC222" s="6"/>
      <c r="AD222" s="6"/>
      <c r="AE222" s="6"/>
      <c r="AF222" s="6"/>
      <c r="AG222" s="6"/>
      <c r="AH222" s="6"/>
      <c r="AI222" s="6"/>
    </row>
    <row r="223" spans="2:35" ht="27.75" customHeight="1" x14ac:dyDescent="0.25">
      <c r="B223" s="47" t="s">
        <v>39</v>
      </c>
      <c r="C223" s="57">
        <v>96555</v>
      </c>
      <c r="D223" s="56" t="s">
        <v>38</v>
      </c>
      <c r="E223" s="44">
        <v>16.8</v>
      </c>
      <c r="F223" s="55" t="s">
        <v>37</v>
      </c>
      <c r="G223" s="54">
        <v>511.12</v>
      </c>
      <c r="H223" s="52">
        <v>135.16</v>
      </c>
      <c r="I223" s="53">
        <v>646.28</v>
      </c>
      <c r="J223" s="52">
        <v>10857.5</v>
      </c>
      <c r="K223" s="39">
        <v>0.2387</v>
      </c>
      <c r="L223" s="38">
        <f t="shared" si="55"/>
        <v>10636.49</v>
      </c>
      <c r="M223" s="38">
        <f t="shared" si="56"/>
        <v>2812.7</v>
      </c>
      <c r="N223" s="38">
        <f t="shared" si="57"/>
        <v>13449.19</v>
      </c>
      <c r="O223" s="34"/>
      <c r="P223" s="34"/>
      <c r="Q223" s="36"/>
      <c r="R223" s="6"/>
      <c r="S223" s="6"/>
      <c r="T223" s="6"/>
      <c r="U223" s="6"/>
      <c r="V223" s="6"/>
      <c r="W223" s="6"/>
      <c r="X223" s="6"/>
      <c r="Y223" s="6"/>
      <c r="Z223" s="6"/>
      <c r="AA223" s="6"/>
      <c r="AB223" s="6"/>
      <c r="AC223" s="6"/>
      <c r="AD223" s="6"/>
      <c r="AE223" s="6"/>
      <c r="AF223" s="6"/>
      <c r="AG223" s="6"/>
      <c r="AH223" s="6"/>
      <c r="AI223" s="6"/>
    </row>
    <row r="224" spans="2:35" s="6" customFormat="1" ht="27.75" customHeight="1" x14ac:dyDescent="0.25">
      <c r="B224" s="47" t="s">
        <v>36</v>
      </c>
      <c r="C224" s="46">
        <v>103318</v>
      </c>
      <c r="D224" s="56" t="s">
        <v>35</v>
      </c>
      <c r="E224" s="44">
        <f>'[1]MEMORIAL DE CÁLCULO'!E207</f>
        <v>11.04</v>
      </c>
      <c r="F224" s="43" t="s">
        <v>10</v>
      </c>
      <c r="G224" s="42">
        <f>65.13</f>
        <v>65.13</v>
      </c>
      <c r="H224" s="40">
        <v>25.77</v>
      </c>
      <c r="I224" s="41">
        <f t="shared" ref="I224:I230" si="58">G224+H224</f>
        <v>90.899999999999991</v>
      </c>
      <c r="J224" s="40">
        <f t="shared" ref="J224:J230" si="59">ROUND(I224*E224,2)</f>
        <v>1003.54</v>
      </c>
      <c r="K224" s="58">
        <v>0.2387</v>
      </c>
      <c r="L224" s="38">
        <f t="shared" si="55"/>
        <v>890.67</v>
      </c>
      <c r="M224" s="38">
        <f t="shared" si="56"/>
        <v>352.41</v>
      </c>
      <c r="N224" s="38">
        <f t="shared" si="57"/>
        <v>1243.08</v>
      </c>
      <c r="O224" s="34"/>
      <c r="P224" s="34"/>
      <c r="Q224" s="36"/>
    </row>
    <row r="225" spans="2:35" s="6" customFormat="1" ht="46.5" customHeight="1" x14ac:dyDescent="0.25">
      <c r="B225" s="47" t="s">
        <v>34</v>
      </c>
      <c r="C225" s="46">
        <v>102364</v>
      </c>
      <c r="D225" s="56" t="s">
        <v>33</v>
      </c>
      <c r="E225" s="44">
        <f>'[1]MEMORIAL DE CÁLCULO'!E208</f>
        <v>368</v>
      </c>
      <c r="F225" s="43" t="s">
        <v>10</v>
      </c>
      <c r="G225" s="42">
        <v>176.25</v>
      </c>
      <c r="H225" s="40">
        <v>31.35</v>
      </c>
      <c r="I225" s="41">
        <f t="shared" si="58"/>
        <v>207.6</v>
      </c>
      <c r="J225" s="40">
        <f t="shared" si="59"/>
        <v>76396.800000000003</v>
      </c>
      <c r="K225" s="58">
        <v>0.2387</v>
      </c>
      <c r="L225" s="38">
        <f t="shared" si="55"/>
        <v>80342.080000000002</v>
      </c>
      <c r="M225" s="38">
        <f t="shared" si="56"/>
        <v>14290.63</v>
      </c>
      <c r="N225" s="38">
        <f t="shared" si="57"/>
        <v>94632.71</v>
      </c>
      <c r="O225" s="34"/>
      <c r="P225" s="34"/>
      <c r="Q225" s="36"/>
    </row>
    <row r="226" spans="2:35" ht="27.75" customHeight="1" x14ac:dyDescent="0.25">
      <c r="B226" s="47" t="s">
        <v>32</v>
      </c>
      <c r="C226" s="57">
        <v>103076</v>
      </c>
      <c r="D226" s="56" t="s">
        <v>31</v>
      </c>
      <c r="E226" s="44">
        <f>'[1]MEMORIAL DE CÁLCULO'!E209</f>
        <v>540</v>
      </c>
      <c r="F226" s="55" t="s">
        <v>10</v>
      </c>
      <c r="G226" s="54">
        <v>143.65</v>
      </c>
      <c r="H226" s="52">
        <v>13.94</v>
      </c>
      <c r="I226" s="53">
        <f t="shared" si="58"/>
        <v>157.59</v>
      </c>
      <c r="J226" s="52">
        <f t="shared" si="59"/>
        <v>85098.6</v>
      </c>
      <c r="K226" s="39">
        <v>0.2387</v>
      </c>
      <c r="L226" s="38">
        <f t="shared" si="55"/>
        <v>96087.2</v>
      </c>
      <c r="M226" s="38">
        <f t="shared" si="56"/>
        <v>9324.44</v>
      </c>
      <c r="N226" s="38">
        <f t="shared" si="57"/>
        <v>105411.64</v>
      </c>
      <c r="O226" s="34"/>
      <c r="P226" s="34"/>
      <c r="Q226" s="36"/>
      <c r="R226" s="6"/>
      <c r="S226" s="6"/>
      <c r="T226" s="6"/>
      <c r="U226" s="6"/>
      <c r="V226" s="6"/>
      <c r="W226" s="6"/>
      <c r="X226" s="6"/>
      <c r="Y226" s="6"/>
      <c r="Z226" s="6"/>
      <c r="AA226" s="6"/>
      <c r="AB226" s="6"/>
      <c r="AC226" s="6"/>
      <c r="AD226" s="6"/>
      <c r="AE226" s="6"/>
      <c r="AF226" s="6"/>
      <c r="AG226" s="6"/>
      <c r="AH226" s="6"/>
      <c r="AI226" s="6"/>
    </row>
    <row r="227" spans="2:35" ht="27.75" customHeight="1" x14ac:dyDescent="0.25">
      <c r="B227" s="47" t="s">
        <v>30</v>
      </c>
      <c r="C227" s="57">
        <v>97097</v>
      </c>
      <c r="D227" s="56" t="s">
        <v>29</v>
      </c>
      <c r="E227" s="44">
        <f>'[1]MEMORIAL DE CÁLCULO'!E210</f>
        <v>540</v>
      </c>
      <c r="F227" s="43" t="s">
        <v>10</v>
      </c>
      <c r="G227" s="54">
        <v>35.39</v>
      </c>
      <c r="H227" s="52">
        <v>1.56</v>
      </c>
      <c r="I227" s="53">
        <f t="shared" si="58"/>
        <v>36.950000000000003</v>
      </c>
      <c r="J227" s="52">
        <f t="shared" si="59"/>
        <v>19953</v>
      </c>
      <c r="K227" s="39">
        <v>0.2387</v>
      </c>
      <c r="L227" s="38">
        <f t="shared" si="55"/>
        <v>23672.3</v>
      </c>
      <c r="M227" s="38">
        <f t="shared" si="56"/>
        <v>1043.48</v>
      </c>
      <c r="N227" s="38">
        <f t="shared" si="57"/>
        <v>24715.78</v>
      </c>
      <c r="O227" s="34"/>
      <c r="P227" s="34"/>
      <c r="Q227" s="36"/>
      <c r="R227" s="6"/>
      <c r="S227" s="6"/>
      <c r="T227" s="6"/>
      <c r="U227" s="6"/>
      <c r="V227" s="6"/>
      <c r="W227" s="6"/>
      <c r="X227" s="6"/>
      <c r="Y227" s="6"/>
      <c r="Z227" s="6"/>
      <c r="AA227" s="6"/>
      <c r="AB227" s="6"/>
      <c r="AC227" s="6"/>
      <c r="AD227" s="6"/>
      <c r="AE227" s="6"/>
      <c r="AF227" s="6"/>
      <c r="AG227" s="6"/>
      <c r="AH227" s="6"/>
      <c r="AI227" s="6"/>
    </row>
    <row r="228" spans="2:35" ht="21.75" customHeight="1" x14ac:dyDescent="0.25">
      <c r="B228" s="47" t="s">
        <v>28</v>
      </c>
      <c r="C228" s="57">
        <v>97114</v>
      </c>
      <c r="D228" s="56" t="s">
        <v>27</v>
      </c>
      <c r="E228" s="44">
        <f>'[1]MEMORIAL DE CÁLCULO'!E211</f>
        <v>270</v>
      </c>
      <c r="F228" s="55" t="s">
        <v>22</v>
      </c>
      <c r="G228" s="54">
        <v>0.02</v>
      </c>
      <c r="H228" s="52">
        <v>0.3</v>
      </c>
      <c r="I228" s="53">
        <f t="shared" si="58"/>
        <v>0.32</v>
      </c>
      <c r="J228" s="52">
        <f t="shared" si="59"/>
        <v>86.4</v>
      </c>
      <c r="K228" s="39">
        <v>0.2387</v>
      </c>
      <c r="L228" s="38">
        <f t="shared" si="55"/>
        <v>6.69</v>
      </c>
      <c r="M228" s="38">
        <f t="shared" si="56"/>
        <v>100.33</v>
      </c>
      <c r="N228" s="38">
        <f t="shared" si="57"/>
        <v>107.02</v>
      </c>
      <c r="O228" s="34"/>
      <c r="P228" s="34"/>
      <c r="Q228" s="36"/>
      <c r="R228" s="6"/>
      <c r="S228" s="6"/>
      <c r="T228" s="6"/>
      <c r="U228" s="6"/>
      <c r="V228" s="6"/>
      <c r="W228" s="6"/>
      <c r="X228" s="6"/>
      <c r="Y228" s="6"/>
      <c r="Z228" s="6"/>
      <c r="AA228" s="6"/>
      <c r="AB228" s="6"/>
      <c r="AC228" s="6"/>
      <c r="AD228" s="6"/>
      <c r="AE228" s="6"/>
      <c r="AF228" s="6"/>
      <c r="AG228" s="6"/>
      <c r="AH228" s="6"/>
      <c r="AI228" s="6"/>
    </row>
    <row r="229" spans="2:35" s="6" customFormat="1" ht="20.25" customHeight="1" x14ac:dyDescent="0.25">
      <c r="B229" s="47" t="s">
        <v>26</v>
      </c>
      <c r="C229" s="46">
        <v>102494</v>
      </c>
      <c r="D229" s="60" t="s">
        <v>25</v>
      </c>
      <c r="E229" s="59">
        <f>'[1]MEMORIAL DE CÁLCULO'!E212</f>
        <v>540</v>
      </c>
      <c r="F229" s="46" t="s">
        <v>22</v>
      </c>
      <c r="G229" s="42">
        <v>53.78</v>
      </c>
      <c r="H229" s="42">
        <v>6.49</v>
      </c>
      <c r="I229" s="41">
        <f t="shared" si="58"/>
        <v>60.27</v>
      </c>
      <c r="J229" s="40">
        <f t="shared" si="59"/>
        <v>32545.8</v>
      </c>
      <c r="K229" s="58">
        <v>0.2387</v>
      </c>
      <c r="L229" s="38">
        <f t="shared" si="55"/>
        <v>35973.33</v>
      </c>
      <c r="M229" s="38">
        <f t="shared" si="56"/>
        <v>4341.1499999999996</v>
      </c>
      <c r="N229" s="38">
        <f t="shared" si="57"/>
        <v>40314.480000000003</v>
      </c>
      <c r="O229" s="34"/>
      <c r="P229" s="34"/>
      <c r="Q229" s="36"/>
    </row>
    <row r="230" spans="2:35" ht="27.75" customHeight="1" x14ac:dyDescent="0.25">
      <c r="B230" s="47" t="s">
        <v>24</v>
      </c>
      <c r="C230" s="57">
        <v>102504</v>
      </c>
      <c r="D230" s="56" t="s">
        <v>23</v>
      </c>
      <c r="E230" s="44">
        <f>'[1]MEMORIAL DE CÁLCULO'!E213</f>
        <v>372</v>
      </c>
      <c r="F230" s="55" t="s">
        <v>22</v>
      </c>
      <c r="G230" s="54">
        <v>11.78</v>
      </c>
      <c r="H230" s="52">
        <v>6.51</v>
      </c>
      <c r="I230" s="53">
        <f t="shared" si="58"/>
        <v>18.29</v>
      </c>
      <c r="J230" s="52">
        <f t="shared" si="59"/>
        <v>6803.88</v>
      </c>
      <c r="K230" s="39">
        <v>0.2387</v>
      </c>
      <c r="L230" s="38">
        <f t="shared" si="55"/>
        <v>5428.18</v>
      </c>
      <c r="M230" s="38">
        <f t="shared" si="56"/>
        <v>2999.78</v>
      </c>
      <c r="N230" s="38">
        <f t="shared" si="57"/>
        <v>8427.9599999999991</v>
      </c>
      <c r="O230" s="34"/>
      <c r="P230" s="34"/>
      <c r="Q230" s="36"/>
      <c r="R230" s="6"/>
      <c r="S230" s="6"/>
      <c r="T230" s="6"/>
      <c r="U230" s="6"/>
      <c r="V230" s="6"/>
      <c r="W230" s="6"/>
      <c r="X230" s="6"/>
      <c r="Y230" s="6"/>
      <c r="Z230" s="6"/>
      <c r="AA230" s="6"/>
      <c r="AB230" s="6"/>
      <c r="AC230" s="6"/>
      <c r="AD230" s="6"/>
      <c r="AE230" s="6"/>
      <c r="AF230" s="6"/>
      <c r="AG230" s="6"/>
      <c r="AH230" s="6"/>
      <c r="AI230" s="6"/>
    </row>
    <row r="231" spans="2:35" ht="20.25" customHeight="1" x14ac:dyDescent="0.25">
      <c r="B231" s="107" t="s">
        <v>21</v>
      </c>
      <c r="C231" s="108"/>
      <c r="D231" s="108"/>
      <c r="E231" s="108"/>
      <c r="F231" s="108"/>
      <c r="G231" s="108"/>
      <c r="H231" s="108"/>
      <c r="I231" s="108"/>
      <c r="J231" s="108"/>
      <c r="K231" s="108"/>
      <c r="L231" s="37">
        <f>SUM(L219:L230)</f>
        <v>259847.77000000002</v>
      </c>
      <c r="M231" s="37">
        <f>SUM(M219:M230)</f>
        <v>39527.24</v>
      </c>
      <c r="N231" s="37">
        <f>SUM(N219:N230)</f>
        <v>299375.01</v>
      </c>
      <c r="O231" s="34"/>
      <c r="P231" s="34"/>
      <c r="Q231" s="36"/>
      <c r="R231" s="6"/>
      <c r="S231" s="6"/>
      <c r="T231" s="6"/>
      <c r="U231" s="6"/>
      <c r="V231" s="6"/>
      <c r="W231" s="6"/>
      <c r="X231" s="6"/>
      <c r="Y231" s="6"/>
      <c r="Z231" s="6"/>
      <c r="AA231" s="6"/>
      <c r="AB231" s="6"/>
      <c r="AC231" s="6"/>
      <c r="AD231" s="6"/>
      <c r="AE231" s="6"/>
      <c r="AF231" s="6"/>
      <c r="AG231" s="6"/>
      <c r="AH231" s="6"/>
      <c r="AI231" s="6"/>
    </row>
    <row r="232" spans="2:35" ht="20.25" customHeight="1" x14ac:dyDescent="0.25">
      <c r="B232" s="51">
        <v>18</v>
      </c>
      <c r="C232" s="49" t="s">
        <v>20</v>
      </c>
      <c r="D232" s="49"/>
      <c r="E232" s="49"/>
      <c r="F232" s="50"/>
      <c r="G232" s="50"/>
      <c r="H232" s="50"/>
      <c r="I232" s="49"/>
      <c r="J232" s="49"/>
      <c r="K232" s="49"/>
      <c r="L232" s="49"/>
      <c r="M232" s="49"/>
      <c r="N232" s="48"/>
      <c r="O232" s="34"/>
      <c r="P232" s="34"/>
      <c r="Q232" s="36"/>
      <c r="R232" s="6"/>
      <c r="S232" s="6"/>
      <c r="T232" s="6"/>
      <c r="U232" s="6"/>
      <c r="V232" s="6"/>
      <c r="W232" s="6"/>
      <c r="X232" s="6"/>
      <c r="Y232" s="6"/>
      <c r="Z232" s="6"/>
      <c r="AA232" s="6"/>
      <c r="AB232" s="6"/>
      <c r="AC232" s="6"/>
      <c r="AD232" s="6"/>
      <c r="AE232" s="6"/>
      <c r="AF232" s="6"/>
      <c r="AG232" s="6"/>
      <c r="AH232" s="6"/>
      <c r="AI232" s="6"/>
    </row>
    <row r="233" spans="2:35" ht="45" customHeight="1" x14ac:dyDescent="0.25">
      <c r="B233" s="47" t="s">
        <v>12</v>
      </c>
      <c r="C233" s="57">
        <v>25399</v>
      </c>
      <c r="D233" s="56" t="s">
        <v>19</v>
      </c>
      <c r="E233" s="44">
        <v>2</v>
      </c>
      <c r="F233" s="55" t="s">
        <v>14</v>
      </c>
      <c r="G233" s="54">
        <f>3999.07*0.8</f>
        <v>3199.2560000000003</v>
      </c>
      <c r="H233" s="52">
        <f>3999.07*0.2</f>
        <v>799.81400000000008</v>
      </c>
      <c r="I233" s="53">
        <f>G233+H233</f>
        <v>3999.0700000000006</v>
      </c>
      <c r="J233" s="52">
        <f>ROUND(I233*E233,2)</f>
        <v>7998.14</v>
      </c>
      <c r="K233" s="39">
        <v>0.2387</v>
      </c>
      <c r="L233" s="38">
        <f>ROUND((1+K233)*E233*G233,2)</f>
        <v>7925.84</v>
      </c>
      <c r="M233" s="38">
        <f>ROUND((1+K233)*E233*H233,2)</f>
        <v>1981.46</v>
      </c>
      <c r="N233" s="38">
        <f>ROUND(L233+M233,2)</f>
        <v>9907.2999999999993</v>
      </c>
      <c r="O233" s="34"/>
      <c r="P233" s="34"/>
      <c r="Q233" s="36"/>
      <c r="R233" s="6"/>
      <c r="S233" s="6"/>
      <c r="T233" s="6"/>
      <c r="U233" s="6"/>
      <c r="V233" s="6"/>
      <c r="W233" s="6"/>
      <c r="X233" s="6"/>
      <c r="Y233" s="6"/>
      <c r="Z233" s="6"/>
      <c r="AA233" s="6"/>
      <c r="AB233" s="6"/>
      <c r="AC233" s="6"/>
      <c r="AD233" s="6"/>
      <c r="AE233" s="6"/>
      <c r="AF233" s="6"/>
      <c r="AG233" s="6"/>
      <c r="AH233" s="6"/>
      <c r="AI233" s="6"/>
    </row>
    <row r="234" spans="2:35" ht="45" customHeight="1" x14ac:dyDescent="0.25">
      <c r="B234" s="47" t="s">
        <v>18</v>
      </c>
      <c r="C234" s="57">
        <v>25396</v>
      </c>
      <c r="D234" s="56" t="s">
        <v>17</v>
      </c>
      <c r="E234" s="44">
        <v>2</v>
      </c>
      <c r="F234" s="55" t="s">
        <v>14</v>
      </c>
      <c r="G234" s="54">
        <f>6587.31*0.8</f>
        <v>5269.8480000000009</v>
      </c>
      <c r="H234" s="52">
        <f>6587.31*0.2</f>
        <v>1317.4620000000002</v>
      </c>
      <c r="I234" s="53">
        <f>G234+H234</f>
        <v>6587.3100000000013</v>
      </c>
      <c r="J234" s="52">
        <f>ROUND(I234*E234,2)</f>
        <v>13174.62</v>
      </c>
      <c r="K234" s="39">
        <v>0.2387</v>
      </c>
      <c r="L234" s="38">
        <f>ROUND((1+K234)*E234*G234,2)</f>
        <v>13055.52</v>
      </c>
      <c r="M234" s="38">
        <f>ROUND((1+K234)*E234*H234,2)</f>
        <v>3263.88</v>
      </c>
      <c r="N234" s="38">
        <f>ROUND(L234+M234,2)</f>
        <v>16319.4</v>
      </c>
      <c r="O234" s="34"/>
      <c r="P234" s="34"/>
      <c r="Q234" s="36"/>
      <c r="R234" s="6"/>
      <c r="S234" s="6"/>
      <c r="T234" s="6"/>
      <c r="U234" s="6"/>
      <c r="V234" s="6"/>
      <c r="W234" s="6"/>
      <c r="X234" s="6"/>
      <c r="Y234" s="6"/>
      <c r="Z234" s="6"/>
      <c r="AA234" s="6"/>
      <c r="AB234" s="6"/>
      <c r="AC234" s="6"/>
      <c r="AD234" s="6"/>
      <c r="AE234" s="6"/>
      <c r="AF234" s="6"/>
      <c r="AG234" s="6"/>
      <c r="AH234" s="6"/>
      <c r="AI234" s="6"/>
    </row>
    <row r="235" spans="2:35" ht="48" customHeight="1" x14ac:dyDescent="0.25">
      <c r="B235" s="47" t="s">
        <v>16</v>
      </c>
      <c r="C235" s="57">
        <v>103769</v>
      </c>
      <c r="D235" s="56" t="s">
        <v>15</v>
      </c>
      <c r="E235" s="44">
        <v>2</v>
      </c>
      <c r="F235" s="55" t="s">
        <v>14</v>
      </c>
      <c r="G235" s="54">
        <f>4557.39+0.97</f>
        <v>4558.3600000000006</v>
      </c>
      <c r="H235" s="54">
        <v>281.14</v>
      </c>
      <c r="I235" s="53">
        <f>G235+H235</f>
        <v>4839.5000000000009</v>
      </c>
      <c r="J235" s="52">
        <f>ROUND(I235*E235,2)</f>
        <v>9679</v>
      </c>
      <c r="K235" s="39">
        <v>0.2387</v>
      </c>
      <c r="L235" s="38">
        <f>ROUND((1+K235)*E235*G235,2)</f>
        <v>11292.88</v>
      </c>
      <c r="M235" s="38">
        <f>ROUND((1+K235)*E235*H235,2)</f>
        <v>696.5</v>
      </c>
      <c r="N235" s="38">
        <f>ROUND(L235+M235,2)</f>
        <v>11989.38</v>
      </c>
      <c r="O235" s="34"/>
      <c r="P235" s="34"/>
      <c r="Q235" s="36"/>
      <c r="R235" s="6"/>
      <c r="S235" s="6"/>
      <c r="T235" s="6"/>
      <c r="U235" s="6"/>
      <c r="V235" s="6"/>
      <c r="W235" s="6"/>
      <c r="X235" s="6"/>
      <c r="Y235" s="6"/>
      <c r="Z235" s="6"/>
      <c r="AA235" s="6"/>
      <c r="AB235" s="6"/>
      <c r="AC235" s="6"/>
      <c r="AD235" s="6"/>
      <c r="AE235" s="6"/>
      <c r="AF235" s="6"/>
      <c r="AG235" s="6"/>
      <c r="AH235" s="6"/>
      <c r="AI235" s="6"/>
    </row>
    <row r="236" spans="2:35" ht="20.25" customHeight="1" x14ac:dyDescent="0.25">
      <c r="B236" s="107" t="s">
        <v>9</v>
      </c>
      <c r="C236" s="108"/>
      <c r="D236" s="108"/>
      <c r="E236" s="108"/>
      <c r="F236" s="108"/>
      <c r="G236" s="108"/>
      <c r="H236" s="108"/>
      <c r="I236" s="108"/>
      <c r="J236" s="108"/>
      <c r="K236" s="108"/>
      <c r="L236" s="37">
        <f>SUM(L233:L234)</f>
        <v>20981.360000000001</v>
      </c>
      <c r="M236" s="37">
        <f>SUM(M233:M234)</f>
        <v>5245.34</v>
      </c>
      <c r="N236" s="37">
        <f>SUM(N233:N235)</f>
        <v>38216.079999999994</v>
      </c>
      <c r="O236" s="34"/>
      <c r="P236" s="34"/>
      <c r="Q236" s="36"/>
      <c r="R236" s="6"/>
      <c r="S236" s="6"/>
      <c r="T236" s="6"/>
      <c r="U236" s="6"/>
      <c r="V236" s="6"/>
      <c r="W236" s="6"/>
      <c r="X236" s="6"/>
      <c r="Y236" s="6"/>
      <c r="Z236" s="6"/>
      <c r="AA236" s="6"/>
      <c r="AB236" s="6"/>
      <c r="AC236" s="6"/>
      <c r="AD236" s="6"/>
      <c r="AE236" s="6"/>
      <c r="AF236" s="6"/>
      <c r="AG236" s="6"/>
      <c r="AH236" s="6"/>
      <c r="AI236" s="6"/>
    </row>
    <row r="237" spans="2:35" ht="20.25" customHeight="1" x14ac:dyDescent="0.25">
      <c r="B237" s="51">
        <v>19</v>
      </c>
      <c r="C237" s="49" t="s">
        <v>13</v>
      </c>
      <c r="D237" s="49"/>
      <c r="E237" s="49"/>
      <c r="F237" s="50"/>
      <c r="G237" s="50"/>
      <c r="H237" s="50"/>
      <c r="I237" s="49"/>
      <c r="J237" s="49"/>
      <c r="K237" s="49"/>
      <c r="L237" s="49"/>
      <c r="M237" s="49"/>
      <c r="N237" s="48"/>
      <c r="O237" s="34"/>
      <c r="P237" s="34"/>
      <c r="Q237" s="36"/>
      <c r="R237" s="6"/>
      <c r="S237" s="6"/>
      <c r="T237" s="6"/>
      <c r="U237" s="6"/>
      <c r="V237" s="6"/>
      <c r="W237" s="6"/>
      <c r="X237" s="6"/>
      <c r="Y237" s="6"/>
      <c r="Z237" s="6"/>
      <c r="AA237" s="6"/>
      <c r="AB237" s="6"/>
      <c r="AC237" s="6"/>
      <c r="AD237" s="6"/>
      <c r="AE237" s="6"/>
      <c r="AF237" s="6"/>
      <c r="AG237" s="6"/>
      <c r="AH237" s="6"/>
      <c r="AI237" s="6"/>
    </row>
    <row r="238" spans="2:35" s="6" customFormat="1" ht="18.75" customHeight="1" x14ac:dyDescent="0.25">
      <c r="B238" s="47" t="s">
        <v>12</v>
      </c>
      <c r="C238" s="46">
        <v>99806</v>
      </c>
      <c r="D238" s="45" t="s">
        <v>11</v>
      </c>
      <c r="E238" s="44">
        <v>1716</v>
      </c>
      <c r="F238" s="43" t="s">
        <v>10</v>
      </c>
      <c r="G238" s="42">
        <v>0.17</v>
      </c>
      <c r="H238" s="40">
        <v>0.57999999999999996</v>
      </c>
      <c r="I238" s="41">
        <f>G238+H238</f>
        <v>0.75</v>
      </c>
      <c r="J238" s="40">
        <f>ROUND(I238*E238,2)</f>
        <v>1287</v>
      </c>
      <c r="K238" s="39">
        <v>0.2387</v>
      </c>
      <c r="L238" s="38">
        <f>ROUND((1+K238)*E238*G238,2)</f>
        <v>361.35</v>
      </c>
      <c r="M238" s="38">
        <f>ROUND((1+K238)*E238*H238,2)</f>
        <v>1232.8499999999999</v>
      </c>
      <c r="N238" s="38">
        <f>ROUND(L238+M238,2)</f>
        <v>1594.2</v>
      </c>
      <c r="O238" s="34"/>
      <c r="P238" s="34"/>
      <c r="Q238" s="36"/>
    </row>
    <row r="239" spans="2:35" ht="20.25" customHeight="1" x14ac:dyDescent="0.25">
      <c r="B239" s="107" t="s">
        <v>9</v>
      </c>
      <c r="C239" s="108"/>
      <c r="D239" s="108"/>
      <c r="E239" s="108"/>
      <c r="F239" s="108"/>
      <c r="G239" s="108"/>
      <c r="H239" s="108"/>
      <c r="I239" s="108"/>
      <c r="J239" s="108"/>
      <c r="K239" s="108"/>
      <c r="L239" s="37">
        <f>SUM(L238:L238)</f>
        <v>361.35</v>
      </c>
      <c r="M239" s="37">
        <f>SUM(M238:M238)</f>
        <v>1232.8499999999999</v>
      </c>
      <c r="N239" s="37">
        <f>SUM(N238:N238)</f>
        <v>1594.2</v>
      </c>
      <c r="O239" s="34"/>
      <c r="P239" s="34"/>
      <c r="Q239" s="36"/>
      <c r="R239" s="6"/>
      <c r="S239" s="6"/>
      <c r="T239" s="6"/>
      <c r="U239" s="6"/>
      <c r="V239" s="6"/>
      <c r="W239" s="6"/>
      <c r="X239" s="6"/>
      <c r="Y239" s="6"/>
      <c r="Z239" s="6"/>
      <c r="AA239" s="6"/>
      <c r="AB239" s="6"/>
      <c r="AC239" s="6"/>
      <c r="AD239" s="6"/>
      <c r="AE239" s="6"/>
      <c r="AF239" s="6"/>
      <c r="AG239" s="6"/>
      <c r="AH239" s="6"/>
      <c r="AI239" s="6"/>
    </row>
    <row r="240" spans="2:35" ht="30.75" customHeight="1" x14ac:dyDescent="0.25">
      <c r="B240" s="104" t="s">
        <v>8</v>
      </c>
      <c r="C240" s="105"/>
      <c r="D240" s="105"/>
      <c r="E240" s="105"/>
      <c r="F240" s="105"/>
      <c r="G240" s="105"/>
      <c r="H240" s="105"/>
      <c r="I240" s="105"/>
      <c r="J240" s="105"/>
      <c r="K240" s="106"/>
      <c r="L240" s="35">
        <f>L17+L22+L33+L54+L63+L70+L80+L86+L92+L103+L113+L127+L142+L149+L159+L189+L217+L231+L236+L239</f>
        <v>1429292.2400000002</v>
      </c>
      <c r="M240" s="35">
        <f>M17+M22+M33+M54+M63+M70+M80+M86+M92+M103+M113+M127+M142+M149+M159+M189+M217+M231+M236+M239</f>
        <v>324667.09999999998</v>
      </c>
      <c r="N240" s="35">
        <f>N17+N22+N33+N54+N63+N70+N80+N86+N92+N103+N113+N127+N142+N149+N159+N189+N217+N231+N236+N239</f>
        <v>1765948.72</v>
      </c>
      <c r="O240" s="34"/>
      <c r="P240" s="34"/>
      <c r="Q240" s="6"/>
      <c r="R240" s="6"/>
      <c r="S240" s="6"/>
      <c r="T240" s="6"/>
      <c r="U240" s="6"/>
      <c r="V240" s="6"/>
      <c r="W240" s="6"/>
      <c r="X240" s="6"/>
      <c r="Y240" s="6"/>
      <c r="Z240" s="6"/>
      <c r="AA240" s="6"/>
      <c r="AB240" s="6"/>
    </row>
    <row r="241" spans="2:28" ht="25.5" customHeight="1" x14ac:dyDescent="0.25">
      <c r="B241" s="16"/>
      <c r="C241" s="24"/>
      <c r="D241" s="24"/>
      <c r="E241" s="23"/>
      <c r="F241" s="22"/>
      <c r="G241" s="25"/>
      <c r="H241" s="25"/>
      <c r="I241" s="25"/>
      <c r="J241" s="25"/>
      <c r="K241" s="25"/>
      <c r="L241" s="33"/>
      <c r="M241" s="33"/>
      <c r="N241" s="32"/>
      <c r="O241" s="6"/>
      <c r="P241" s="6"/>
      <c r="Q241" s="6"/>
      <c r="R241" s="6"/>
      <c r="S241" s="6"/>
      <c r="T241" s="6"/>
      <c r="U241" s="6"/>
      <c r="V241" s="6"/>
      <c r="W241" s="6"/>
      <c r="X241" s="6"/>
      <c r="Y241" s="6"/>
      <c r="Z241" s="6"/>
      <c r="AA241" s="6"/>
      <c r="AB241" s="6"/>
    </row>
    <row r="242" spans="2:28" ht="15" customHeight="1" x14ac:dyDescent="0.25">
      <c r="B242" s="16"/>
      <c r="C242" s="100" t="s">
        <v>7</v>
      </c>
      <c r="D242" s="100"/>
      <c r="E242" s="29"/>
      <c r="F242" s="28"/>
      <c r="G242" s="25"/>
      <c r="H242" s="25"/>
      <c r="I242" s="25"/>
      <c r="J242" s="25"/>
      <c r="K242" s="25"/>
      <c r="L242" s="33"/>
      <c r="M242" s="33"/>
      <c r="N242" s="32"/>
      <c r="O242" s="6"/>
      <c r="P242" s="6"/>
      <c r="Q242" s="6"/>
      <c r="R242" s="6"/>
      <c r="S242" s="6"/>
      <c r="T242" s="6"/>
      <c r="U242" s="6"/>
      <c r="V242" s="6"/>
      <c r="W242" s="6"/>
      <c r="X242" s="6"/>
      <c r="Y242" s="6"/>
      <c r="Z242" s="6"/>
      <c r="AA242" s="6"/>
      <c r="AB242" s="6"/>
    </row>
    <row r="243" spans="2:28" ht="15" customHeight="1" x14ac:dyDescent="0.25">
      <c r="B243" s="16"/>
      <c r="C243" s="101" t="s">
        <v>6</v>
      </c>
      <c r="D243" s="101"/>
      <c r="E243" s="29"/>
      <c r="F243" s="28"/>
      <c r="G243" s="25"/>
      <c r="H243" s="25"/>
      <c r="I243" s="25"/>
      <c r="J243" s="26"/>
      <c r="K243" s="26"/>
      <c r="L243" s="25"/>
      <c r="M243" s="26"/>
      <c r="N243" s="27"/>
      <c r="O243" s="6"/>
      <c r="P243" s="6"/>
      <c r="Q243" s="6"/>
      <c r="R243" s="6"/>
      <c r="S243" s="6"/>
      <c r="T243" s="6"/>
      <c r="U243" s="6"/>
      <c r="V243" s="6"/>
      <c r="W243" s="6"/>
      <c r="X243" s="6"/>
      <c r="Y243" s="6"/>
      <c r="Z243" s="6"/>
      <c r="AA243" s="6"/>
      <c r="AB243" s="6"/>
    </row>
    <row r="244" spans="2:28" ht="15" customHeight="1" x14ac:dyDescent="0.25">
      <c r="B244" s="16"/>
      <c r="C244" s="101" t="s">
        <v>5</v>
      </c>
      <c r="D244" s="101"/>
      <c r="E244" s="31"/>
      <c r="F244" s="28"/>
      <c r="G244" s="25"/>
      <c r="H244" s="30"/>
      <c r="I244" s="25"/>
      <c r="J244" s="24"/>
      <c r="K244" s="24"/>
      <c r="L244" s="25"/>
      <c r="M244" s="24"/>
      <c r="N244" s="27"/>
      <c r="O244" s="6"/>
      <c r="P244" s="6"/>
      <c r="Q244" s="6"/>
      <c r="R244" s="6"/>
      <c r="S244" s="6"/>
      <c r="T244" s="6"/>
      <c r="U244" s="6"/>
      <c r="V244" s="6"/>
      <c r="W244" s="6"/>
      <c r="X244" s="6"/>
      <c r="Y244" s="6"/>
      <c r="Z244" s="6"/>
      <c r="AA244" s="6"/>
      <c r="AB244" s="6"/>
    </row>
    <row r="245" spans="2:28" ht="15" customHeight="1" x14ac:dyDescent="0.25">
      <c r="B245" s="16"/>
      <c r="C245" s="101" t="s">
        <v>4</v>
      </c>
      <c r="D245" s="101"/>
      <c r="E245" s="23"/>
      <c r="F245" s="22"/>
      <c r="G245" s="25"/>
      <c r="H245" s="25"/>
      <c r="I245" s="25"/>
      <c r="J245" s="26"/>
      <c r="K245" s="26"/>
      <c r="L245" s="25"/>
      <c r="M245" s="26"/>
      <c r="N245" s="27"/>
      <c r="O245" s="6"/>
      <c r="P245" s="6"/>
      <c r="Q245" s="6"/>
      <c r="R245" s="6"/>
      <c r="S245" s="6"/>
      <c r="T245" s="6"/>
      <c r="U245" s="6"/>
      <c r="V245" s="6"/>
      <c r="W245" s="6"/>
      <c r="X245" s="6"/>
      <c r="Y245" s="6"/>
      <c r="Z245" s="6"/>
      <c r="AA245" s="6"/>
      <c r="AB245" s="6"/>
    </row>
    <row r="246" spans="2:28" ht="15" customHeight="1" x14ac:dyDescent="0.25">
      <c r="B246" s="16"/>
      <c r="C246" s="101" t="s">
        <v>3</v>
      </c>
      <c r="D246" s="101"/>
      <c r="E246" s="29"/>
      <c r="F246" s="28"/>
      <c r="G246" s="25"/>
      <c r="H246" s="25"/>
      <c r="I246" s="25"/>
      <c r="J246" s="26"/>
      <c r="K246" s="26"/>
      <c r="L246" s="25"/>
      <c r="M246" s="26"/>
      <c r="N246" s="27"/>
      <c r="O246" s="6"/>
      <c r="P246" s="6"/>
      <c r="Q246" s="6"/>
      <c r="R246" s="6"/>
      <c r="S246" s="6"/>
      <c r="T246" s="6"/>
      <c r="U246" s="6"/>
      <c r="V246" s="6"/>
      <c r="W246" s="6"/>
      <c r="X246" s="6"/>
      <c r="Y246" s="6"/>
      <c r="Z246" s="6"/>
      <c r="AA246" s="6"/>
      <c r="AB246" s="6"/>
    </row>
    <row r="247" spans="2:28" ht="18.75" customHeight="1" x14ac:dyDescent="0.25">
      <c r="B247" s="16"/>
      <c r="C247" s="101" t="s">
        <v>2</v>
      </c>
      <c r="D247" s="101"/>
      <c r="E247" s="29"/>
      <c r="F247" s="28"/>
      <c r="G247" s="25"/>
      <c r="H247" s="25"/>
      <c r="I247" s="26"/>
      <c r="J247" s="26"/>
      <c r="K247" s="26"/>
      <c r="L247" s="26"/>
      <c r="M247" s="26"/>
      <c r="N247" s="27"/>
      <c r="O247" s="6"/>
      <c r="P247" s="6"/>
      <c r="Q247" s="6"/>
      <c r="R247" s="6"/>
      <c r="S247" s="6"/>
      <c r="T247" s="6"/>
      <c r="U247" s="6"/>
      <c r="V247" s="6"/>
      <c r="W247" s="6"/>
      <c r="X247" s="6"/>
      <c r="Y247" s="6"/>
      <c r="Z247" s="6"/>
      <c r="AA247" s="6"/>
      <c r="AB247" s="6"/>
    </row>
    <row r="248" spans="2:28" ht="15" customHeight="1" x14ac:dyDescent="0.25">
      <c r="B248" s="16"/>
      <c r="C248" s="24"/>
      <c r="D248" s="24"/>
      <c r="E248" s="23"/>
      <c r="F248" s="22"/>
      <c r="G248" s="25"/>
      <c r="H248" s="25"/>
      <c r="I248" s="26"/>
      <c r="J248" s="115" t="s">
        <v>1</v>
      </c>
      <c r="K248" s="115"/>
      <c r="L248" s="115"/>
      <c r="M248" s="115"/>
      <c r="N248" s="116"/>
      <c r="O248" s="6"/>
      <c r="P248" s="6"/>
      <c r="Q248" s="6"/>
      <c r="R248" s="6"/>
      <c r="S248" s="6"/>
      <c r="T248" s="6"/>
      <c r="U248" s="6"/>
      <c r="V248" s="6"/>
      <c r="W248" s="6"/>
      <c r="X248" s="6"/>
      <c r="Y248" s="6"/>
      <c r="Z248" s="6"/>
      <c r="AA248" s="6"/>
      <c r="AB248" s="6"/>
    </row>
    <row r="249" spans="2:28" ht="15" customHeight="1" x14ac:dyDescent="0.25">
      <c r="B249" s="16"/>
      <c r="C249" s="24"/>
      <c r="D249" s="24"/>
      <c r="E249" s="23"/>
      <c r="F249" s="22"/>
      <c r="G249" s="22"/>
      <c r="H249" s="22"/>
      <c r="I249" s="22"/>
      <c r="J249" s="22"/>
      <c r="K249" s="22"/>
      <c r="L249" s="22"/>
      <c r="M249" s="22"/>
      <c r="N249" s="21"/>
      <c r="O249" s="6"/>
      <c r="P249" s="6"/>
      <c r="Q249" s="6" t="s">
        <v>0</v>
      </c>
      <c r="R249" s="6"/>
      <c r="S249" s="6"/>
      <c r="T249" s="6"/>
      <c r="U249" s="6"/>
      <c r="V249" s="6"/>
      <c r="W249" s="6"/>
      <c r="X249" s="6"/>
      <c r="Y249" s="6"/>
      <c r="Z249" s="6"/>
      <c r="AA249" s="6"/>
      <c r="AB249" s="6"/>
    </row>
    <row r="250" spans="2:28" ht="15" customHeight="1" x14ac:dyDescent="0.25">
      <c r="B250" s="16"/>
      <c r="C250" s="20"/>
      <c r="D250" s="20"/>
      <c r="E250" s="19"/>
      <c r="F250" s="18"/>
      <c r="G250" s="17"/>
      <c r="H250" s="17"/>
      <c r="I250" s="15"/>
      <c r="J250" s="15"/>
      <c r="K250" s="15"/>
      <c r="L250" s="15"/>
      <c r="M250" s="15"/>
      <c r="N250" s="14"/>
      <c r="O250" s="6"/>
      <c r="P250" s="6"/>
      <c r="Q250" s="6"/>
      <c r="R250" s="6"/>
      <c r="S250" s="6"/>
      <c r="T250" s="6"/>
      <c r="U250" s="6"/>
      <c r="V250" s="6"/>
      <c r="W250" s="6"/>
      <c r="X250" s="6"/>
      <c r="Y250" s="6"/>
      <c r="Z250" s="6"/>
      <c r="AA250" s="6"/>
      <c r="AB250" s="6"/>
    </row>
    <row r="251" spans="2:28" ht="15" customHeight="1" x14ac:dyDescent="0.25">
      <c r="B251" s="16"/>
      <c r="C251" s="98"/>
      <c r="D251" s="98"/>
      <c r="E251" s="98"/>
      <c r="F251" s="98"/>
      <c r="G251" s="98"/>
      <c r="H251" s="98"/>
      <c r="I251" s="15"/>
      <c r="J251" s="15"/>
      <c r="K251" s="15"/>
      <c r="L251" s="15"/>
      <c r="M251" s="15"/>
      <c r="N251" s="14"/>
      <c r="O251" s="6"/>
      <c r="P251" s="6"/>
      <c r="Q251" s="6"/>
      <c r="R251" s="6"/>
      <c r="S251" s="6"/>
      <c r="T251" s="6"/>
      <c r="U251" s="6"/>
      <c r="V251" s="6"/>
      <c r="W251" s="6"/>
      <c r="X251" s="6"/>
      <c r="Y251" s="6"/>
      <c r="Z251" s="6"/>
      <c r="AA251" s="6"/>
      <c r="AB251" s="6"/>
    </row>
    <row r="252" spans="2:28" ht="15" customHeight="1" x14ac:dyDescent="0.25">
      <c r="B252" s="13"/>
      <c r="C252" s="99"/>
      <c r="D252" s="99"/>
      <c r="E252" s="99"/>
      <c r="F252" s="99"/>
      <c r="G252" s="99"/>
      <c r="H252" s="99"/>
      <c r="I252" s="12"/>
      <c r="J252" s="12"/>
      <c r="K252" s="12"/>
      <c r="L252" s="12"/>
      <c r="M252" s="12"/>
      <c r="N252" s="11"/>
      <c r="O252" s="6"/>
      <c r="P252" s="6"/>
      <c r="Q252" s="6"/>
      <c r="R252" s="6"/>
      <c r="S252" s="6"/>
      <c r="T252" s="6"/>
      <c r="U252" s="6"/>
      <c r="V252" s="6"/>
      <c r="W252" s="6"/>
      <c r="X252" s="6"/>
      <c r="Y252" s="6"/>
      <c r="Z252" s="6"/>
      <c r="AA252" s="6"/>
      <c r="AB252" s="6"/>
    </row>
    <row r="253" spans="2:28" ht="15" customHeight="1" x14ac:dyDescent="0.25">
      <c r="B253" s="10"/>
      <c r="C253" s="6"/>
      <c r="D253" s="6"/>
      <c r="E253" s="9"/>
      <c r="F253" s="8"/>
      <c r="G253" s="7"/>
      <c r="H253" s="7"/>
      <c r="I253" s="7"/>
      <c r="J253" s="7"/>
      <c r="K253" s="7"/>
      <c r="L253" s="7"/>
      <c r="M253" s="7"/>
      <c r="N253" s="7"/>
      <c r="O253" s="6"/>
      <c r="P253" s="6"/>
      <c r="Q253" s="6"/>
      <c r="R253" s="6"/>
      <c r="S253" s="6"/>
      <c r="T253" s="6"/>
      <c r="U253" s="6"/>
      <c r="V253" s="6"/>
      <c r="W253" s="6"/>
      <c r="X253" s="6"/>
      <c r="Y253" s="6"/>
      <c r="Z253" s="6"/>
      <c r="AA253" s="6"/>
      <c r="AB253" s="6"/>
    </row>
    <row r="254" spans="2:28" ht="15" customHeight="1" x14ac:dyDescent="0.25">
      <c r="O254" s="6"/>
      <c r="P254" s="6"/>
      <c r="Q254" s="6"/>
      <c r="R254" s="6"/>
      <c r="S254" s="6"/>
      <c r="T254" s="6"/>
      <c r="U254" s="6"/>
      <c r="V254" s="6"/>
      <c r="W254" s="6"/>
      <c r="X254" s="6"/>
      <c r="Y254" s="6"/>
      <c r="Z254" s="6"/>
      <c r="AA254" s="6"/>
      <c r="AB254" s="6"/>
    </row>
    <row r="255" spans="2:28" ht="15" customHeight="1" x14ac:dyDescent="0.25">
      <c r="O255" s="6"/>
      <c r="P255" s="6"/>
      <c r="Q255" s="6"/>
      <c r="R255" s="6"/>
      <c r="S255" s="6"/>
      <c r="T255" s="6"/>
      <c r="U255" s="6"/>
      <c r="V255" s="6"/>
      <c r="W255" s="6"/>
      <c r="X255" s="6"/>
      <c r="Y255" s="6"/>
      <c r="Z255" s="6"/>
      <c r="AA255" s="6"/>
      <c r="AB255" s="6"/>
    </row>
    <row r="256" spans="2:28" ht="15" customHeight="1" x14ac:dyDescent="0.25">
      <c r="O256" s="6"/>
      <c r="P256" s="6"/>
      <c r="Q256" s="6"/>
      <c r="R256" s="6"/>
      <c r="S256" s="6"/>
      <c r="T256" s="6"/>
      <c r="U256" s="6"/>
      <c r="V256" s="6"/>
      <c r="W256" s="6"/>
      <c r="X256" s="6"/>
      <c r="Y256" s="6"/>
      <c r="Z256" s="6"/>
      <c r="AA256" s="6"/>
      <c r="AB256" s="6"/>
    </row>
    <row r="257" spans="15:28" ht="15" customHeight="1" x14ac:dyDescent="0.25">
      <c r="O257" s="6"/>
      <c r="P257" s="6"/>
      <c r="Q257" s="6"/>
      <c r="R257" s="6"/>
      <c r="S257" s="6"/>
      <c r="T257" s="6"/>
      <c r="U257" s="6"/>
      <c r="V257" s="6"/>
      <c r="W257" s="6"/>
      <c r="X257" s="6"/>
      <c r="Y257" s="6"/>
      <c r="Z257" s="6"/>
      <c r="AA257" s="6"/>
      <c r="AB257" s="6"/>
    </row>
    <row r="258" spans="15:28" ht="15" customHeight="1" x14ac:dyDescent="0.25">
      <c r="O258" s="6"/>
      <c r="P258" s="6"/>
      <c r="Q258" s="6"/>
      <c r="R258" s="6"/>
      <c r="S258" s="6"/>
      <c r="T258" s="6"/>
      <c r="U258" s="6"/>
      <c r="V258" s="6"/>
      <c r="W258" s="6"/>
      <c r="X258" s="6"/>
      <c r="Y258" s="6"/>
      <c r="Z258" s="6"/>
      <c r="AA258" s="6"/>
      <c r="AB258" s="6"/>
    </row>
    <row r="259" spans="15:28" ht="15" customHeight="1" x14ac:dyDescent="0.25">
      <c r="O259" s="6"/>
      <c r="P259" s="6"/>
      <c r="Q259" s="6"/>
      <c r="R259" s="6"/>
      <c r="S259" s="6"/>
      <c r="T259" s="6"/>
      <c r="U259" s="6"/>
      <c r="V259" s="6"/>
      <c r="W259" s="6"/>
      <c r="X259" s="6"/>
      <c r="Y259" s="6"/>
      <c r="Z259" s="6"/>
      <c r="AA259" s="6"/>
      <c r="AB259" s="6"/>
    </row>
    <row r="260" spans="15:28" ht="15" customHeight="1" x14ac:dyDescent="0.25">
      <c r="O260" s="6"/>
      <c r="P260" s="6"/>
      <c r="Q260" s="6"/>
      <c r="R260" s="6"/>
      <c r="S260" s="6"/>
      <c r="T260" s="6"/>
      <c r="U260" s="6"/>
      <c r="V260" s="6"/>
      <c r="W260" s="6"/>
      <c r="X260" s="6"/>
      <c r="Y260" s="6"/>
      <c r="Z260" s="6"/>
      <c r="AA260" s="6"/>
      <c r="AB260" s="6"/>
    </row>
    <row r="261" spans="15:28" ht="15" customHeight="1" x14ac:dyDescent="0.25">
      <c r="O261" s="6"/>
      <c r="P261" s="6"/>
      <c r="Q261" s="6"/>
      <c r="R261" s="6"/>
      <c r="S261" s="6"/>
      <c r="T261" s="6"/>
      <c r="U261" s="6"/>
      <c r="V261" s="6"/>
      <c r="W261" s="6"/>
      <c r="X261" s="6"/>
      <c r="Y261" s="6"/>
      <c r="Z261" s="6"/>
      <c r="AA261" s="6"/>
      <c r="AB261" s="6"/>
    </row>
    <row r="262" spans="15:28" ht="15" customHeight="1" x14ac:dyDescent="0.25">
      <c r="O262" s="6"/>
      <c r="P262" s="6"/>
      <c r="Q262" s="6"/>
      <c r="R262" s="6"/>
      <c r="S262" s="6"/>
      <c r="T262" s="6"/>
      <c r="U262" s="6"/>
      <c r="V262" s="6"/>
      <c r="W262" s="6"/>
      <c r="X262" s="6"/>
      <c r="Y262" s="6"/>
      <c r="Z262" s="6"/>
      <c r="AA262" s="6"/>
      <c r="AB262" s="6"/>
    </row>
    <row r="263" spans="15:28" ht="15" customHeight="1" x14ac:dyDescent="0.25">
      <c r="O263" s="6"/>
      <c r="P263" s="6"/>
      <c r="Q263" s="6"/>
      <c r="R263" s="6"/>
      <c r="S263" s="6"/>
      <c r="T263" s="6"/>
      <c r="U263" s="6"/>
      <c r="V263" s="6"/>
      <c r="W263" s="6"/>
      <c r="X263" s="6"/>
      <c r="Y263" s="6"/>
      <c r="Z263" s="6"/>
      <c r="AA263" s="6"/>
      <c r="AB263" s="6"/>
    </row>
    <row r="264" spans="15:28" ht="15" customHeight="1" x14ac:dyDescent="0.25">
      <c r="O264" s="6"/>
      <c r="P264" s="6"/>
      <c r="Q264" s="6"/>
      <c r="R264" s="6"/>
      <c r="S264" s="6"/>
      <c r="T264" s="6"/>
      <c r="U264" s="6"/>
      <c r="V264" s="6"/>
      <c r="W264" s="6"/>
      <c r="X264" s="6"/>
      <c r="Y264" s="6"/>
      <c r="Z264" s="6"/>
      <c r="AA264" s="6"/>
      <c r="AB264" s="6"/>
    </row>
    <row r="265" spans="15:28" ht="15" customHeight="1" x14ac:dyDescent="0.25">
      <c r="O265" s="6"/>
      <c r="P265" s="6"/>
      <c r="Q265" s="6"/>
      <c r="R265" s="6"/>
      <c r="S265" s="6"/>
      <c r="T265" s="6"/>
      <c r="U265" s="6"/>
      <c r="V265" s="6"/>
      <c r="W265" s="6"/>
      <c r="X265" s="6"/>
      <c r="Y265" s="6"/>
      <c r="Z265" s="6"/>
      <c r="AA265" s="6"/>
      <c r="AB265" s="6"/>
    </row>
    <row r="266" spans="15:28" ht="15" customHeight="1" x14ac:dyDescent="0.25"/>
    <row r="267" spans="15:28" ht="15" customHeight="1" x14ac:dyDescent="0.25"/>
    <row r="268" spans="15:28" ht="15" customHeight="1" x14ac:dyDescent="0.25"/>
    <row r="269" spans="15:28" ht="15" customHeight="1" x14ac:dyDescent="0.25"/>
    <row r="270" spans="15:28" ht="15" customHeight="1" x14ac:dyDescent="0.25"/>
    <row r="271" spans="15:28" ht="15" customHeight="1" x14ac:dyDescent="0.25"/>
    <row r="272" spans="15:28"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sheetData>
  <mergeCells count="62">
    <mergeCell ref="B127:K127"/>
    <mergeCell ref="C128:N128"/>
    <mergeCell ref="C104:N104"/>
    <mergeCell ref="B105:D105"/>
    <mergeCell ref="B109:D109"/>
    <mergeCell ref="C114:N114"/>
    <mergeCell ref="B1:N1"/>
    <mergeCell ref="B2:N2"/>
    <mergeCell ref="B3:N3"/>
    <mergeCell ref="B5:N5"/>
    <mergeCell ref="B6:B7"/>
    <mergeCell ref="E6:E7"/>
    <mergeCell ref="F6:F7"/>
    <mergeCell ref="B103:K103"/>
    <mergeCell ref="B113:K113"/>
    <mergeCell ref="B92:K92"/>
    <mergeCell ref="C93:N93"/>
    <mergeCell ref="B80:K80"/>
    <mergeCell ref="B86:K86"/>
    <mergeCell ref="C55:D55"/>
    <mergeCell ref="B70:K70"/>
    <mergeCell ref="C71:N71"/>
    <mergeCell ref="C81:N81"/>
    <mergeCell ref="B4:N4"/>
    <mergeCell ref="B17:K17"/>
    <mergeCell ref="J248:N248"/>
    <mergeCell ref="C247:D247"/>
    <mergeCell ref="B239:K239"/>
    <mergeCell ref="B22:K22"/>
    <mergeCell ref="B63:K63"/>
    <mergeCell ref="B33:K33"/>
    <mergeCell ref="C34:N34"/>
    <mergeCell ref="C64:N64"/>
    <mergeCell ref="C6:C7"/>
    <mergeCell ref="D6:D7"/>
    <mergeCell ref="G6:I6"/>
    <mergeCell ref="J6:J7"/>
    <mergeCell ref="K6:K7"/>
    <mergeCell ref="L6:N6"/>
    <mergeCell ref="B40:C40"/>
    <mergeCell ref="B35:C35"/>
    <mergeCell ref="B45:C45"/>
    <mergeCell ref="B240:K240"/>
    <mergeCell ref="B142:K142"/>
    <mergeCell ref="C143:N143"/>
    <mergeCell ref="B54:K54"/>
    <mergeCell ref="B159:K159"/>
    <mergeCell ref="C160:N160"/>
    <mergeCell ref="B189:K189"/>
    <mergeCell ref="C190:N190"/>
    <mergeCell ref="B149:K149"/>
    <mergeCell ref="C150:N150"/>
    <mergeCell ref="B236:K236"/>
    <mergeCell ref="B231:K231"/>
    <mergeCell ref="B217:K217"/>
    <mergeCell ref="C251:H251"/>
    <mergeCell ref="C252:H252"/>
    <mergeCell ref="C242:D242"/>
    <mergeCell ref="C243:D243"/>
    <mergeCell ref="C244:D244"/>
    <mergeCell ref="C245:D245"/>
    <mergeCell ref="C246:D246"/>
  </mergeCells>
  <pageMargins left="0.7" right="0.7"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MATERIAL + MÃO DE OBRA</vt:lpstr>
      <vt:lpstr>Plan1</vt:lpstr>
      <vt:lpstr>'MATERIAL + MÃO DE OBRA'!Area_de_impressao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Azeredo Coutinho</dc:creator>
  <cp:lastModifiedBy>Cristiane Oliveira</cp:lastModifiedBy>
  <dcterms:created xsi:type="dcterms:W3CDTF">2022-10-27T18:27:43Z</dcterms:created>
  <dcterms:modified xsi:type="dcterms:W3CDTF">2022-10-27T18:46:43Z</dcterms:modified>
</cp:coreProperties>
</file>