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I:\Compras 06 - CRISTIANE\Editais 2021\Tomada de Preços\TP 18\"/>
    </mc:Choice>
  </mc:AlternateContent>
  <xr:revisionPtr revIDLastSave="0" documentId="8_{370422C8-8EA9-4249-BFCB-0DCAA3B84BF3}" xr6:coauthVersionLast="47" xr6:coauthVersionMax="47" xr10:uidLastSave="{00000000-0000-0000-0000-000000000000}"/>
  <bookViews>
    <workbookView xWindow="-120" yWindow="-120" windowWidth="29040" windowHeight="15840" xr2:uid="{6DF3FF69-00F8-474A-9068-45879330AE98}"/>
  </bookViews>
  <sheets>
    <sheet name="MATERIAL + MÃO DE OBRA" sheetId="1" r:id="rId1"/>
  </sheets>
  <externalReferences>
    <externalReference r:id="rId2"/>
  </externalReferences>
  <definedNames>
    <definedName name="_xlnm.Print_Area" localSheetId="0">'MATERIAL + MÃO DE OBRA'!$B$1:$Q$118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04" i="1" l="1"/>
  <c r="L104" i="1"/>
  <c r="M104" i="1" s="1"/>
  <c r="H104" i="1"/>
  <c r="O104" i="1" s="1"/>
  <c r="L103" i="1"/>
  <c r="H103" i="1"/>
  <c r="O103" i="1" s="1"/>
  <c r="P102" i="1"/>
  <c r="L102" i="1"/>
  <c r="M102" i="1" s="1"/>
  <c r="J102" i="1"/>
  <c r="H102" i="1"/>
  <c r="O102" i="1" s="1"/>
  <c r="L101" i="1"/>
  <c r="H101" i="1"/>
  <c r="P101" i="1" s="1"/>
  <c r="O98" i="1"/>
  <c r="L98" i="1"/>
  <c r="M98" i="1" s="1"/>
  <c r="H98" i="1"/>
  <c r="P98" i="1" s="1"/>
  <c r="T97" i="1"/>
  <c r="U97" i="1" s="1"/>
  <c r="V97" i="1" s="1"/>
  <c r="S97" i="1"/>
  <c r="P97" i="1"/>
  <c r="O97" i="1"/>
  <c r="Q97" i="1" s="1"/>
  <c r="L97" i="1"/>
  <c r="M97" i="1" s="1"/>
  <c r="S96" i="1"/>
  <c r="T96" i="1" s="1"/>
  <c r="Q96" i="1"/>
  <c r="P96" i="1"/>
  <c r="O96" i="1"/>
  <c r="M96" i="1"/>
  <c r="L96" i="1"/>
  <c r="P95" i="1"/>
  <c r="P99" i="1" s="1"/>
  <c r="O95" i="1"/>
  <c r="O99" i="1" s="1"/>
  <c r="L95" i="1"/>
  <c r="M95" i="1" s="1"/>
  <c r="H95" i="1"/>
  <c r="M92" i="1"/>
  <c r="L92" i="1"/>
  <c r="H92" i="1"/>
  <c r="P92" i="1" s="1"/>
  <c r="L91" i="1"/>
  <c r="H91" i="1"/>
  <c r="P91" i="1" s="1"/>
  <c r="T90" i="1"/>
  <c r="S90" i="1"/>
  <c r="L90" i="1"/>
  <c r="H90" i="1"/>
  <c r="P90" i="1" s="1"/>
  <c r="P89" i="1"/>
  <c r="L89" i="1"/>
  <c r="H89" i="1"/>
  <c r="O89" i="1" s="1"/>
  <c r="M86" i="1"/>
  <c r="L86" i="1"/>
  <c r="H86" i="1"/>
  <c r="P86" i="1" s="1"/>
  <c r="T85" i="1"/>
  <c r="S85" i="1"/>
  <c r="P85" i="1"/>
  <c r="O85" i="1"/>
  <c r="Q85" i="1" s="1"/>
  <c r="L85" i="1"/>
  <c r="M85" i="1" s="1"/>
  <c r="T84" i="1"/>
  <c r="S84" i="1"/>
  <c r="Q84" i="1"/>
  <c r="P84" i="1"/>
  <c r="O84" i="1"/>
  <c r="M84" i="1"/>
  <c r="L84" i="1"/>
  <c r="P83" i="1"/>
  <c r="O83" i="1"/>
  <c r="Q83" i="1" s="1"/>
  <c r="L83" i="1"/>
  <c r="M83" i="1" s="1"/>
  <c r="H83" i="1"/>
  <c r="P82" i="1"/>
  <c r="O82" i="1"/>
  <c r="Q82" i="1" s="1"/>
  <c r="L82" i="1"/>
  <c r="M82" i="1" s="1"/>
  <c r="H82" i="1"/>
  <c r="S81" i="1"/>
  <c r="T81" i="1" s="1"/>
  <c r="P81" i="1"/>
  <c r="O81" i="1"/>
  <c r="Q81" i="1" s="1"/>
  <c r="M81" i="1"/>
  <c r="L81" i="1"/>
  <c r="Q80" i="1"/>
  <c r="P80" i="1"/>
  <c r="O80" i="1"/>
  <c r="M80" i="1"/>
  <c r="L80" i="1"/>
  <c r="H80" i="1"/>
  <c r="Q79" i="1"/>
  <c r="P79" i="1"/>
  <c r="O79" i="1"/>
  <c r="M79" i="1"/>
  <c r="L79" i="1"/>
  <c r="P78" i="1"/>
  <c r="O78" i="1"/>
  <c r="Q78" i="1" s="1"/>
  <c r="L78" i="1"/>
  <c r="M78" i="1" s="1"/>
  <c r="L77" i="1"/>
  <c r="H77" i="1"/>
  <c r="O77" i="1" s="1"/>
  <c r="P74" i="1"/>
  <c r="L74" i="1"/>
  <c r="M74" i="1" s="1"/>
  <c r="H74" i="1"/>
  <c r="O74" i="1" s="1"/>
  <c r="Q74" i="1" s="1"/>
  <c r="S73" i="1"/>
  <c r="T73" i="1" s="1"/>
  <c r="P73" i="1"/>
  <c r="O73" i="1"/>
  <c r="Q73" i="1" s="1"/>
  <c r="M73" i="1"/>
  <c r="L73" i="1"/>
  <c r="M72" i="1"/>
  <c r="L72" i="1"/>
  <c r="H72" i="1"/>
  <c r="P72" i="1" s="1"/>
  <c r="P75" i="1" s="1"/>
  <c r="O69" i="1"/>
  <c r="L69" i="1"/>
  <c r="H69" i="1"/>
  <c r="P69" i="1" s="1"/>
  <c r="T68" i="1"/>
  <c r="S68" i="1"/>
  <c r="L68" i="1"/>
  <c r="H68" i="1"/>
  <c r="P68" i="1" s="1"/>
  <c r="L67" i="1"/>
  <c r="H67" i="1"/>
  <c r="P67" i="1" s="1"/>
  <c r="L66" i="1"/>
  <c r="H66" i="1"/>
  <c r="P66" i="1" s="1"/>
  <c r="V65" i="1"/>
  <c r="W65" i="1" s="1"/>
  <c r="X65" i="1" s="1"/>
  <c r="Y65" i="1" s="1"/>
  <c r="U65" i="1"/>
  <c r="S65" i="1"/>
  <c r="T65" i="1" s="1"/>
  <c r="L65" i="1"/>
  <c r="H65" i="1"/>
  <c r="O65" i="1" s="1"/>
  <c r="L64" i="1"/>
  <c r="H64" i="1"/>
  <c r="O64" i="1" s="1"/>
  <c r="L63" i="1"/>
  <c r="H63" i="1"/>
  <c r="O63" i="1" s="1"/>
  <c r="J62" i="1"/>
  <c r="H62" i="1"/>
  <c r="P62" i="1" s="1"/>
  <c r="L59" i="1"/>
  <c r="J59" i="1"/>
  <c r="H59" i="1"/>
  <c r="M59" i="1" s="1"/>
  <c r="J58" i="1"/>
  <c r="H58" i="1"/>
  <c r="P58" i="1" s="1"/>
  <c r="P57" i="1"/>
  <c r="O57" i="1"/>
  <c r="L57" i="1"/>
  <c r="J57" i="1"/>
  <c r="H57" i="1"/>
  <c r="P56" i="1"/>
  <c r="O56" i="1"/>
  <c r="Q56" i="1" s="1"/>
  <c r="L56" i="1"/>
  <c r="H56" i="1"/>
  <c r="M56" i="1" s="1"/>
  <c r="P55" i="1"/>
  <c r="O55" i="1"/>
  <c r="Q55" i="1" s="1"/>
  <c r="L55" i="1"/>
  <c r="H55" i="1"/>
  <c r="M55" i="1" s="1"/>
  <c r="L52" i="1"/>
  <c r="M52" i="1" s="1"/>
  <c r="H52" i="1"/>
  <c r="O52" i="1" s="1"/>
  <c r="L51" i="1"/>
  <c r="L50" i="1"/>
  <c r="M50" i="1" s="1"/>
  <c r="H50" i="1"/>
  <c r="O50" i="1" s="1"/>
  <c r="L49" i="1"/>
  <c r="M49" i="1" s="1"/>
  <c r="H49" i="1"/>
  <c r="O49" i="1" s="1"/>
  <c r="P46" i="1"/>
  <c r="P47" i="1" s="1"/>
  <c r="L46" i="1"/>
  <c r="M46" i="1" s="1"/>
  <c r="J46" i="1"/>
  <c r="H46" i="1"/>
  <c r="O46" i="1" s="1"/>
  <c r="L42" i="1"/>
  <c r="H42" i="1"/>
  <c r="M42" i="1" s="1"/>
  <c r="K41" i="1"/>
  <c r="J41" i="1"/>
  <c r="L41" i="1" s="1"/>
  <c r="H41" i="1"/>
  <c r="P41" i="1" s="1"/>
  <c r="P38" i="1"/>
  <c r="O38" i="1"/>
  <c r="Q38" i="1" s="1"/>
  <c r="L38" i="1"/>
  <c r="H38" i="1"/>
  <c r="M38" i="1" s="1"/>
  <c r="L37" i="1"/>
  <c r="H37" i="1"/>
  <c r="M37" i="1" s="1"/>
  <c r="K36" i="1"/>
  <c r="J36" i="1"/>
  <c r="L36" i="1" s="1"/>
  <c r="H36" i="1"/>
  <c r="P36" i="1" s="1"/>
  <c r="L35" i="1"/>
  <c r="H35" i="1"/>
  <c r="M35" i="1" s="1"/>
  <c r="K34" i="1"/>
  <c r="J34" i="1"/>
  <c r="L34" i="1" s="1"/>
  <c r="H34" i="1"/>
  <c r="P34" i="1" s="1"/>
  <c r="P33" i="1"/>
  <c r="O33" i="1"/>
  <c r="Q33" i="1" s="1"/>
  <c r="L33" i="1"/>
  <c r="M33" i="1" s="1"/>
  <c r="H33" i="1"/>
  <c r="L32" i="1"/>
  <c r="H32" i="1"/>
  <c r="P32" i="1" s="1"/>
  <c r="P31" i="1"/>
  <c r="L31" i="1"/>
  <c r="H31" i="1"/>
  <c r="O31" i="1" s="1"/>
  <c r="Q31" i="1" s="1"/>
  <c r="P30" i="1"/>
  <c r="O30" i="1"/>
  <c r="L30" i="1"/>
  <c r="M30" i="1" s="1"/>
  <c r="H30" i="1"/>
  <c r="L27" i="1"/>
  <c r="H27" i="1"/>
  <c r="M27" i="1" s="1"/>
  <c r="L26" i="1"/>
  <c r="H26" i="1"/>
  <c r="M26" i="1" s="1"/>
  <c r="V25" i="1"/>
  <c r="L25" i="1"/>
  <c r="H25" i="1"/>
  <c r="O25" i="1" s="1"/>
  <c r="L24" i="1"/>
  <c r="H24" i="1"/>
  <c r="P24" i="1" s="1"/>
  <c r="L23" i="1"/>
  <c r="H23" i="1"/>
  <c r="P23" i="1" s="1"/>
  <c r="P22" i="1"/>
  <c r="L22" i="1"/>
  <c r="H22" i="1"/>
  <c r="O22" i="1" s="1"/>
  <c r="Q22" i="1" s="1"/>
  <c r="P21" i="1"/>
  <c r="O21" i="1"/>
  <c r="Q21" i="1" s="1"/>
  <c r="L21" i="1"/>
  <c r="H21" i="1"/>
  <c r="M21" i="1" s="1"/>
  <c r="P20" i="1"/>
  <c r="O20" i="1"/>
  <c r="Q20" i="1" s="1"/>
  <c r="M20" i="1"/>
  <c r="L20" i="1"/>
  <c r="H20" i="1"/>
  <c r="V19" i="1"/>
  <c r="V24" i="1" s="1"/>
  <c r="L17" i="1"/>
  <c r="H17" i="1"/>
  <c r="P17" i="1" s="1"/>
  <c r="P16" i="1"/>
  <c r="O16" i="1"/>
  <c r="Q16" i="1" s="1"/>
  <c r="L16" i="1"/>
  <c r="H16" i="1"/>
  <c r="L15" i="1"/>
  <c r="H15" i="1"/>
  <c r="P15" i="1" s="1"/>
  <c r="P18" i="1" s="1"/>
  <c r="J12" i="1"/>
  <c r="L12" i="1" s="1"/>
  <c r="H12" i="1"/>
  <c r="P12" i="1" s="1"/>
  <c r="K11" i="1"/>
  <c r="J11" i="1"/>
  <c r="H11" i="1"/>
  <c r="P11" i="1" s="1"/>
  <c r="K10" i="1"/>
  <c r="J10" i="1"/>
  <c r="L10" i="1" s="1"/>
  <c r="H10" i="1"/>
  <c r="P10" i="1" s="1"/>
  <c r="K9" i="1"/>
  <c r="J9" i="1"/>
  <c r="L9" i="1" s="1"/>
  <c r="M9" i="1" s="1"/>
  <c r="H9" i="1"/>
  <c r="M15" i="1" l="1"/>
  <c r="M24" i="1"/>
  <c r="L11" i="1"/>
  <c r="M11" i="1" s="1"/>
  <c r="O15" i="1"/>
  <c r="O24" i="1"/>
  <c r="Q24" i="1" s="1"/>
  <c r="M32" i="1"/>
  <c r="O37" i="1"/>
  <c r="Q37" i="1" s="1"/>
  <c r="O42" i="1"/>
  <c r="O62" i="1"/>
  <c r="Q62" i="1" s="1"/>
  <c r="M66" i="1"/>
  <c r="M68" i="1"/>
  <c r="M90" i="1"/>
  <c r="M10" i="1"/>
  <c r="O11" i="1"/>
  <c r="Q11" i="1" s="1"/>
  <c r="M17" i="1"/>
  <c r="M23" i="1"/>
  <c r="O32" i="1"/>
  <c r="Q32" i="1" s="1"/>
  <c r="M36" i="1"/>
  <c r="P37" i="1"/>
  <c r="M41" i="1"/>
  <c r="P42" i="1"/>
  <c r="P43" i="1" s="1"/>
  <c r="O58" i="1"/>
  <c r="Q58" i="1" s="1"/>
  <c r="O90" i="1"/>
  <c r="Q90" i="1" s="1"/>
  <c r="M91" i="1"/>
  <c r="M101" i="1"/>
  <c r="M103" i="1"/>
  <c r="O17" i="1"/>
  <c r="Q17" i="1" s="1"/>
  <c r="M22" i="1"/>
  <c r="O23" i="1"/>
  <c r="Q23" i="1" s="1"/>
  <c r="M31" i="1"/>
  <c r="M34" i="1"/>
  <c r="M89" i="1"/>
  <c r="Q102" i="1"/>
  <c r="P103" i="1"/>
  <c r="P105" i="1" s="1"/>
  <c r="P9" i="1"/>
  <c r="P13" i="1" s="1"/>
  <c r="O10" i="1"/>
  <c r="Q10" i="1" s="1"/>
  <c r="M12" i="1"/>
  <c r="M16" i="1"/>
  <c r="M25" i="1"/>
  <c r="O36" i="1"/>
  <c r="Q36" i="1" s="1"/>
  <c r="O41" i="1"/>
  <c r="Q41" i="1" s="1"/>
  <c r="M57" i="1"/>
  <c r="M67" i="1"/>
  <c r="Q104" i="1"/>
  <c r="O47" i="1"/>
  <c r="Q46" i="1"/>
  <c r="P93" i="1"/>
  <c r="Q98" i="1"/>
  <c r="Q69" i="1"/>
  <c r="P39" i="1"/>
  <c r="Q50" i="1"/>
  <c r="V23" i="1"/>
  <c r="P25" i="1"/>
  <c r="Q25" i="1" s="1"/>
  <c r="O26" i="1"/>
  <c r="O27" i="1"/>
  <c r="Q30" i="1"/>
  <c r="O34" i="1"/>
  <c r="Q34" i="1" s="1"/>
  <c r="O35" i="1"/>
  <c r="P49" i="1"/>
  <c r="P50" i="1"/>
  <c r="P52" i="1"/>
  <c r="Q52" i="1" s="1"/>
  <c r="Q57" i="1"/>
  <c r="O59" i="1"/>
  <c r="P63" i="1"/>
  <c r="Q63" i="1" s="1"/>
  <c r="P64" i="1"/>
  <c r="Q64" i="1" s="1"/>
  <c r="P65" i="1"/>
  <c r="Q65" i="1" s="1"/>
  <c r="O66" i="1"/>
  <c r="Q66" i="1" s="1"/>
  <c r="O67" i="1"/>
  <c r="Q67" i="1" s="1"/>
  <c r="O68" i="1"/>
  <c r="Q68" i="1" s="1"/>
  <c r="O72" i="1"/>
  <c r="P77" i="1"/>
  <c r="P87" i="1" s="1"/>
  <c r="O86" i="1"/>
  <c r="Q86" i="1" s="1"/>
  <c r="Q89" i="1"/>
  <c r="O91" i="1"/>
  <c r="Q91" i="1" s="1"/>
  <c r="O92" i="1"/>
  <c r="Q92" i="1" s="1"/>
  <c r="Q95" i="1"/>
  <c r="O101" i="1"/>
  <c r="H51" i="1"/>
  <c r="O12" i="1"/>
  <c r="Q12" i="1" s="1"/>
  <c r="O9" i="1"/>
  <c r="P26" i="1"/>
  <c r="P27" i="1"/>
  <c r="P35" i="1"/>
  <c r="P59" i="1"/>
  <c r="P60" i="1" s="1"/>
  <c r="M69" i="1"/>
  <c r="L58" i="1"/>
  <c r="M58" i="1" s="1"/>
  <c r="L62" i="1"/>
  <c r="M62" i="1" s="1"/>
  <c r="M63" i="1"/>
  <c r="M64" i="1"/>
  <c r="M65" i="1"/>
  <c r="M77" i="1"/>
  <c r="R42" i="1" l="1"/>
  <c r="Q43" i="1"/>
  <c r="Q15" i="1"/>
  <c r="O18" i="1"/>
  <c r="P70" i="1"/>
  <c r="Q42" i="1"/>
  <c r="O28" i="1"/>
  <c r="O43" i="1"/>
  <c r="Q103" i="1"/>
  <c r="R92" i="1"/>
  <c r="Q93" i="1"/>
  <c r="R69" i="1"/>
  <c r="Q70" i="1"/>
  <c r="R46" i="1"/>
  <c r="Q47" i="1"/>
  <c r="O51" i="1"/>
  <c r="P51" i="1"/>
  <c r="P53" i="1" s="1"/>
  <c r="R98" i="1"/>
  <c r="Q99" i="1"/>
  <c r="O75" i="1"/>
  <c r="Q72" i="1"/>
  <c r="Q26" i="1"/>
  <c r="O87" i="1"/>
  <c r="O39" i="1"/>
  <c r="M51" i="1"/>
  <c r="O93" i="1"/>
  <c r="O13" i="1"/>
  <c r="Q9" i="1"/>
  <c r="Q59" i="1"/>
  <c r="Q60" i="1" s="1"/>
  <c r="Q35" i="1"/>
  <c r="R38" i="1" s="1"/>
  <c r="O70" i="1"/>
  <c r="P28" i="1"/>
  <c r="O105" i="1"/>
  <c r="Q101" i="1"/>
  <c r="Q27" i="1"/>
  <c r="Q28" i="1" s="1"/>
  <c r="Q49" i="1"/>
  <c r="Q77" i="1"/>
  <c r="O60" i="1"/>
  <c r="P106" i="1" l="1"/>
  <c r="R27" i="1"/>
  <c r="Q18" i="1"/>
  <c r="R17" i="1"/>
  <c r="R12" i="1"/>
  <c r="Q13" i="1"/>
  <c r="Q39" i="1"/>
  <c r="O106" i="1"/>
  <c r="R105" i="1"/>
  <c r="Q105" i="1"/>
  <c r="R86" i="1"/>
  <c r="Q87" i="1"/>
  <c r="R74" i="1"/>
  <c r="Q75" i="1"/>
  <c r="Q53" i="1"/>
  <c r="Q51" i="1"/>
  <c r="R52" i="1" s="1"/>
  <c r="O53" i="1"/>
  <c r="R59" i="1"/>
  <c r="Q106" i="1" l="1"/>
  <c r="R106" i="1"/>
</calcChain>
</file>

<file path=xl/sharedStrings.xml><?xml version="1.0" encoding="utf-8"?>
<sst xmlns="http://schemas.openxmlformats.org/spreadsheetml/2006/main" count="272" uniqueCount="203">
  <si>
    <t>Relatório Global - Data: 07 de outubro de 2021</t>
  </si>
  <si>
    <t>Obra: Pavimentação Asfáltica da Rua Osvino Schüller</t>
  </si>
  <si>
    <t>Cliente: PREFEITURA MUNICIPAL DE TRIUNFO</t>
  </si>
  <si>
    <t>Endereço: RUA XV DE NOVEMBRO, 15 - TRIUNFO</t>
  </si>
  <si>
    <t>ITEM</t>
  </si>
  <si>
    <t>Código SINAPI</t>
  </si>
  <si>
    <t>DESCRIÇÃO</t>
  </si>
  <si>
    <t>QTD.</t>
  </si>
  <si>
    <t xml:space="preserve">UN </t>
  </si>
  <si>
    <t>PREÇO UNITÁRIO SEM BDI [R$]</t>
  </si>
  <si>
    <t>PREÇO TOTAL S/ BDI</t>
  </si>
  <si>
    <t>BDI</t>
  </si>
  <si>
    <t>PREÇO TOTAL COM BDI [R$]</t>
  </si>
  <si>
    <t>MATERIAL    [R$]</t>
  </si>
  <si>
    <t>MÃO DE OBRA   [R$]</t>
  </si>
  <si>
    <t>MATERIAL + MÃO DE OBRA    [R$]</t>
  </si>
  <si>
    <t>TOTAL         [R$]</t>
  </si>
  <si>
    <t>SERVIÇOS INICIAIS</t>
  </si>
  <si>
    <t>1.1</t>
  </si>
  <si>
    <t>CP-1</t>
  </si>
  <si>
    <t>PLACA DE OBRA EM CHAPA DE AÇO GALVANIZADA</t>
  </si>
  <si>
    <t>m²</t>
  </si>
  <si>
    <t>1.2</t>
  </si>
  <si>
    <t>CP-2</t>
  </si>
  <si>
    <t>ADMINISTRAÇÃO DE OBRA</t>
  </si>
  <si>
    <t>mês</t>
  </si>
  <si>
    <t>1.3</t>
  </si>
  <si>
    <t>CP-3</t>
  </si>
  <si>
    <t>MOBILIZAÇÃO DE OBRA</t>
  </si>
  <si>
    <t>1.4</t>
  </si>
  <si>
    <t>SERVIÇOS TOPOGRÁFICOS EM PAVIMENTAÇÃO</t>
  </si>
  <si>
    <t>m</t>
  </si>
  <si>
    <t>SUBTOTAL ITEM 1:</t>
  </si>
  <si>
    <t>TERRAPLANAGEM</t>
  </si>
  <si>
    <t>2.1</t>
  </si>
  <si>
    <t>ESCAVAÇÃO VERTICAL A CÉU ABERTO, EM OBRAS DE INFRAESTRUTURA, INCLUINDO CARGA, DESCARGA E TRANSPORTE, EM SOLO DE 1ª CATEGORIA COM ESCAVADEIRA HIDRÁULICA</t>
  </si>
  <si>
    <t>m³</t>
  </si>
  <si>
    <t>2.2</t>
  </si>
  <si>
    <t>EXECUÇÃO E COMPACTAÇÃO DE ATERRO COM SOLO PREDOMINANTEMENTE ARGILOSO - EXCLUSIVE SOLO, ESCAVAÇÃO, CARGA E TRANSPORTE.</t>
  </si>
  <si>
    <t>2.3</t>
  </si>
  <si>
    <t xml:space="preserve">REGULARIZAÇÃO E COMPACTAÇÃO DE SUBLEITO </t>
  </si>
  <si>
    <t>SUBTOTAL ITEM 2:</t>
  </si>
  <si>
    <t>MICRODRENAGEM</t>
  </si>
  <si>
    <t>3.1</t>
  </si>
  <si>
    <t>ESCAVAÇÃO MECANIZADA DE VALA COM PROF. ATÉ 1,5 M</t>
  </si>
  <si>
    <t>3.2</t>
  </si>
  <si>
    <t>TRANSPORTE COM CAMINHÃO BASCULANTE DE 10 M³, EM VIA URBANA PAVIMENTADA, DMT = 1km (BOTA FORA)</t>
  </si>
  <si>
    <t>m³xkm</t>
  </si>
  <si>
    <t>3.3</t>
  </si>
  <si>
    <t>3.4</t>
  </si>
  <si>
    <t>PREPARO DE FUNDO DE VALA COM LARGURA MENOR QUE 1,5 M, COM CAMADA DE BRITA, LANÇAMENTO MANUAL.</t>
  </si>
  <si>
    <t>Apenas tubos, sem considerar profundidade</t>
  </si>
  <si>
    <t>3.5</t>
  </si>
  <si>
    <t>TUBO DE CONCRETO SIMPLES PARA ÁGUAS PLUVIAIS, CLASSE PS2, COM ENCAIXE PONTA E BOLSA, DIÂMETRO NOMINAL DE 400 MM</t>
  </si>
  <si>
    <t>3.6</t>
  </si>
  <si>
    <t>ASSENTAMENTO DE TUBO DE CONCRETO PARA REDES COLETORAS DE ÁGUAS PLUVIAIS, DIÂMETRO DE 400 MM</t>
  </si>
  <si>
    <t>3.7</t>
  </si>
  <si>
    <t>REATERRO MECANIZADO DE VALA COM RETROESCAVADEIRA</t>
  </si>
  <si>
    <t>3.8</t>
  </si>
  <si>
    <t>TRANSPORTE COM CAMINHÃO BASCULANTE DE 10 M³, EM VIA URBANA PAVIMENTADA, DMT = 1KM (BOTA FORA)</t>
  </si>
  <si>
    <t>SUBTOTAL ITEM 3:</t>
  </si>
  <si>
    <t>PAVIMENTAÇÃO</t>
  </si>
  <si>
    <t>4.1</t>
  </si>
  <si>
    <t>EXECUÇÃO E COMPACTAÇÃO DE SUB BASE PARA PAVIMENTAÇÃO DE RACHÃO, INCLUSO TRAVAMENTO</t>
  </si>
  <si>
    <t>4.2</t>
  </si>
  <si>
    <t xml:space="preserve">EXECUÇÃO E COMPACTAÇÃO DE BASE PARA PAVIMENTAÇÃO DE BRITA GRADUADA SIMPLES </t>
  </si>
  <si>
    <t>4.3</t>
  </si>
  <si>
    <t>TRANSPORTE COM CAMINHÃO BASCULANTE DE 10 M³, EM VIA URBANA PAVIMENTADA, DMT = 30km (JAZIDA)</t>
  </si>
  <si>
    <t>4.4</t>
  </si>
  <si>
    <t xml:space="preserve">CARGA, MANOBRA E DESCARGA DE MATERIAIS GRANULARES EM CAMINHÃO BASCULANTE </t>
  </si>
  <si>
    <t>4.5</t>
  </si>
  <si>
    <t xml:space="preserve">EXECUÇÃO DE IMPRIMAÇÃO COM ASFALTO DILUÍDO </t>
  </si>
  <si>
    <t>4.6</t>
  </si>
  <si>
    <t>EXECUÇÃO DE PINTURA DE LIGAÇÃO COM EMULSÃO ASFÁLTICA RR-2C.</t>
  </si>
  <si>
    <t>4.7</t>
  </si>
  <si>
    <t>EXECUÇÃO DE PAVIMENTO COM APLICAÇÃO DE CONCRETO ASFÁLTICO, CAMADA DE ROLAMENTO - CBUQ 6cm</t>
  </si>
  <si>
    <t>4.8</t>
  </si>
  <si>
    <t>TRANSPORTE COM CAMINHÃO BASCULANTE 10 M3 DE CBUQ DMT = 30km</t>
  </si>
  <si>
    <t>4.9</t>
  </si>
  <si>
    <t>CARGA DE MISTURA ASFÁLTICA EM CAMINHÃO BASCULANTE 10 M³</t>
  </si>
  <si>
    <t>SUBTOTAL ITEM 4:</t>
  </si>
  <si>
    <t>SINALIZAÇÃO</t>
  </si>
  <si>
    <t>5.1</t>
  </si>
  <si>
    <t>CP-4</t>
  </si>
  <si>
    <t>LIMPEZA E PREPARO DE SUPERFICIE DE CONCRETO PARA RECEBER PINTURA</t>
  </si>
  <si>
    <t>5.2</t>
  </si>
  <si>
    <t>SINALIZAÇÃO HORIZONTAL COM TINTA RETRORREFLETIVA A BASE DE RESINA ACRILICA, COM MICRO ESFERAS DE VIDRO (EIXO  E BORDAS)</t>
  </si>
  <si>
    <t>SUBTOTAL ITEM 5:</t>
  </si>
  <si>
    <t>GALERIA DE CONCRETO</t>
  </si>
  <si>
    <t>6.1</t>
  </si>
  <si>
    <t>SINALIZAÇÃO COM FITA FIXADA EM CONE PLÁSTICO, INCLUINDO CONE.</t>
  </si>
  <si>
    <t>SUBTOTAL ITEM 6:</t>
  </si>
  <si>
    <t>MOVIMENTAÇÕES DE TERRA</t>
  </si>
  <si>
    <t>7.1</t>
  </si>
  <si>
    <t xml:space="preserve">LIMPEZA MECANIZADA DE CAMADA VEGETAL, VEGETAÇÃO E PEQUENAS ÁRVORES </t>
  </si>
  <si>
    <t>7.2</t>
  </si>
  <si>
    <t>ESCAVAÇÃO VERTICAL A CÉU ABERTO, EM OBRAS DE INFRAESTRUTURA, INCLUINDO CARGA, DESCARGA E TRANSPORTE, EM SOLO DE 1ª CATEGORIA COM ESCAVADEIRA HIDRÁULICA (CAÇAMBA: 0,8 M³ / 111HP),</t>
  </si>
  <si>
    <t>7.3</t>
  </si>
  <si>
    <t>TRANSPORTE COM CAMINHÃO BASCULANTE DE 10 M³, EM VIA URBANA PAVIMENTADA DMT = 1KM (BOTA FORA)</t>
  </si>
  <si>
    <t>7.4</t>
  </si>
  <si>
    <t>ESCORAMENTO DE VALA, TIPO PONTALETEAMENTO, COM PROFUNDIDADE DE 3,0 A 4,5 M, LARGURA MENOR QUE 1,5 M.</t>
  </si>
  <si>
    <t>SUBTOTAL ITEM 7:</t>
  </si>
  <si>
    <t>BASE</t>
  </si>
  <si>
    <t>8.1</t>
  </si>
  <si>
    <t>EMBASAMENTO DE MATERIAL GRANULAR - RACHÃO E=0,50m</t>
  </si>
  <si>
    <t>8.2</t>
  </si>
  <si>
    <t>TRANSPORTE COM CAMINHÃO BASCULANTE, EM VIA URBANA PAVIMENTADA DMT = 26,80km</t>
  </si>
  <si>
    <t>8.3</t>
  </si>
  <si>
    <t>PREPARO DE FUNDO DE VALA COM CAMADA DE BRITA, LANÇAMENTO MANUAL</t>
  </si>
  <si>
    <t>8.4</t>
  </si>
  <si>
    <t>m3xkm</t>
  </si>
  <si>
    <t>8.5</t>
  </si>
  <si>
    <t>COMPACTAÇÃO MECÂNICA DE SOLO PARA EXECUÇÃO DE RADIER, COM COMPACTADOR DE SOLOS TIPO PLACA VIBRATÓRIA.</t>
  </si>
  <si>
    <t>SUBTOTAL ITEM 8:</t>
  </si>
  <si>
    <t>FUNDAÇÕES</t>
  </si>
  <si>
    <t>9.1</t>
  </si>
  <si>
    <t>ESTACA PRÉ-MOLDADA DE CONCRETO CENTRIFUGADO, SEÇÃO QUADRADA, CAPACIDADE DE 50 TONELADAS</t>
  </si>
  <si>
    <t>9.2</t>
  </si>
  <si>
    <t>ESCAVAÇÃO MECANIZADA PARA BLOCO DE COROAMENTO, COM PREVISÃO DE FÔRMA, COM RETROESCAVADEIRA.</t>
  </si>
  <si>
    <t>9.3</t>
  </si>
  <si>
    <t>FABRICAÇÃO, MONTAGEM E DESMONTAGEM DE FÔRMA PARA BLOCO DE COROAMENTO, EM MADEIRA SERRADA, E=25 MM</t>
  </si>
  <si>
    <t>9.4</t>
  </si>
  <si>
    <t>ARMAÇÃO DE BLOCO UTILIZANDO AÇO CA-50 DE 8 MM - MONTAGEM.</t>
  </si>
  <si>
    <t>kg</t>
  </si>
  <si>
    <t>9.5</t>
  </si>
  <si>
    <t xml:space="preserve">CONCRETAGEM DE BLOCOS COM CONCRETO USINADO BOMBEAVEL, CLASSE DE  RESISTENCIA C30, COM BRITA 0 E 1, SLUMP = 100 +/- 20 MM, INCLUI SERVICO DE  BOMBEAMENTO </t>
  </si>
  <si>
    <t>9.6</t>
  </si>
  <si>
    <t>FABRICAÇÃO, MONTAGEM E DESMONTAGEM DE FÔRMA PARA VIGA BALDRAME, EM MADEIRA SERRADA, E=25 MM, 20X30 (MONTANTE E JUSTANTE DO RADIER)</t>
  </si>
  <si>
    <t>9.7</t>
  </si>
  <si>
    <t>ARMAÇÃO DE VIGA BALDRAME UTILIZANDO AÇO CA-50 DE 10 MM - MONTAGEM.</t>
  </si>
  <si>
    <t>9.8</t>
  </si>
  <si>
    <t>ARMAÇÃO DE VIGA BALDRAME UTILIZANDO AÇO CA-50 DE 8 MM - MONTAGEM.</t>
  </si>
  <si>
    <t>SUBTOTAL ITEM 9:</t>
  </si>
  <si>
    <t>RADIER</t>
  </si>
  <si>
    <t>10.1</t>
  </si>
  <si>
    <t>FABRICAÇÃO, MONTAGEM E DESMONTAGEM DE FORMA PARA RADIER, EM MADEIRA SERRADA, 4 UTILIZAÇÕES.</t>
  </si>
  <si>
    <t>10.2</t>
  </si>
  <si>
    <t>ARMAÇÃO DE LAJE DE UMA ESTRUTURA CONVENCIONAL DE CONCRETO ARMADO EM UMA EDIFICAÇÃO TÉRREA OU SOBRADO UTILIZANDO AÇO CA-50 DE 10,0 MM - MONTAGEM.</t>
  </si>
  <si>
    <t>10.3</t>
  </si>
  <si>
    <t>CONCRETAGEM DE RADIER, PISO OU LAJE SOBRE SOLO, FCK 30 MPA, PARA ESPESSURA DE 20 CM - LANÇAMENTO, ADENSAMENTO E ACABAMENTO.</t>
  </si>
  <si>
    <t>SUBTOTAL ITEM 10:</t>
  </si>
  <si>
    <t>SUPRAESTRUTURA</t>
  </si>
  <si>
    <t>11.1</t>
  </si>
  <si>
    <t>ADUELA PRÉ-MOLDADA DE CONCRETO ARMADO, SEÇÃO RETANGULAR INTERNA DE 3,00 X 3,00 M, MÍSULA DE 20X20CM, C=1,00M, ESPESSURA MÍN=20CM, TB-45 E FCK DO CONCRETO=30MPA</t>
  </si>
  <si>
    <t>un.</t>
  </si>
  <si>
    <t>11.2</t>
  </si>
  <si>
    <t>GUINDASTE HIDRÁULICO AUTOPROPELIDO, COM LANÇA TELESCÓPICA 40 M, CAPACIDADE  MÁXIMA 60 T, POTÊNCIA 260 KW - CHP DIURNO</t>
  </si>
  <si>
    <t>CHP</t>
  </si>
  <si>
    <t>11.3</t>
  </si>
  <si>
    <t>GUINDASTE HIDRÁULICO AUTOPROPELIDO, COM LANÇA TELESCÓPICA 40 M, CAPACIDADE
 MÁXIMA 60 T, POTÊNCIA 260 KW - CHI DIURNO</t>
  </si>
  <si>
    <t>CHI</t>
  </si>
  <si>
    <t>11.4</t>
  </si>
  <si>
    <t>11.5</t>
  </si>
  <si>
    <t>11.6</t>
  </si>
  <si>
    <t xml:space="preserve">CONCRETAGEM DE LAJES COM CONCRETO USINADO BOMBEAVEL, CLASSE DE RESISTENCIA C30, COM BRITA 0 E 1, SLUMP = 100 +/- 20 MM, INCLUI SERVICO DE BOMBEAMENTO </t>
  </si>
  <si>
    <t>11.7</t>
  </si>
  <si>
    <t xml:space="preserve">MONTAGEM E DESMONTAGEM DE FÔRMA DE PILARES RETANGULARES E ESTRUTURAS SIMILARES, PÉ-DIREITO SIMPLES, EM MADEIRA SERRADA, 2 UTILIZAÇÕES. </t>
  </si>
  <si>
    <t>11.8</t>
  </si>
  <si>
    <t>ARMAÇÃO DE PILAR OU VIGA DE UMA ESTRUTURA CONVENCIONAL DE CONCRETO ARMADO EM UM EDIFÍCIO DE MÚLTIPLOS PAVIMENTOS UTILIZANDO AÇO CA-60 DE 5,0 MM - MONTAGEM.</t>
  </si>
  <si>
    <t>11.9</t>
  </si>
  <si>
    <t xml:space="preserve">ARMAÇÃO DE PILAR OU VIGA DE UMA ESTRUTURA CONVENCIONAL DE CONCRETO ARMADO  EM UM EDIFÍCIO DE MÚLTIPLOS PAVIMENTOS UTILIZANDO AÇO CA-50 DE 10,0 MM - MONTAGEM. </t>
  </si>
  <si>
    <t>11.10</t>
  </si>
  <si>
    <t xml:space="preserve">CONCRETAGEM DE PILARES COM CONCRETO USINADO BOMBEAVEL, CLASSE DE RESISTENCIA C30, COM BRITA 0 E 1, SLUMP = 100 +/- 20 MM, INCLUI SERVICO DE BOMBEAMENTO </t>
  </si>
  <si>
    <t>SUBTOTAL ITEM 11:</t>
  </si>
  <si>
    <t>ALAS LATERAIS EM CORTINA DE CONCRETO ARMADO FCK=30MPA - ESP=20CM</t>
  </si>
  <si>
    <t>12.1</t>
  </si>
  <si>
    <t>FABRICAÇÃO, MONTAGEM E DESMONTAGEM DE FÔRMA PARA ALA DE ESTRUTURA, EM CHAPA DE MADEIRA COMPENSADA RESINADA, E = 17 MM, 2 UTILIZAÇÕES.</t>
  </si>
  <si>
    <t>12.2</t>
  </si>
  <si>
    <t>ARMAÇÃO DE MURO ALA E MURO TESTA UTILIZANDO AÇO CA-50 DE 10 MM - MONTAGEM.</t>
  </si>
  <si>
    <t>12.3</t>
  </si>
  <si>
    <t xml:space="preserve">CONCRETAGEM DE ALAS LATERAIS COM CONCRETO USINADO BOMBEAVEL, CLASSE DE RESISTENCIA C30, COM BRITA 0 E 1, SLUMP = 100 +/- 20 MM, INCLUI SERVICO DE BOMBEAMENTO </t>
  </si>
  <si>
    <t>12.4</t>
  </si>
  <si>
    <t>LASTRO DE CONCRETO MAGRO, APLICADO EM PISOS, LAJES SOBRE SOLO OU RADIERS</t>
  </si>
  <si>
    <t>SUBTOTAL ITEM 12:</t>
  </si>
  <si>
    <t>MURETA LATERAL 30X80CM EM CONCRETO ARMADO FCK=30MPA</t>
  </si>
  <si>
    <t>13.1</t>
  </si>
  <si>
    <t>FABRICAÇÃO, MONTAGEM E DESMONTAGEM DE FÔRMA PARA VIGA BALDRAME, EM MADEIRA M2 SERRADA, E=25 MM, 20X30 (MONTANTE E JUSTANTE DO RADIER)</t>
  </si>
  <si>
    <t>13.2</t>
  </si>
  <si>
    <t>ARMAÇÃO DE BLOCO, VIGA BALDRAME OU SAPATA UTILIZANDO AÇO CA-50 DE 10 MM - MONTAGEM.</t>
  </si>
  <si>
    <t>13.3</t>
  </si>
  <si>
    <t>ARMAÇÃO DE BLOCO, VIGA BALDRAME E SAPATA UTILIZANDO AÇO CA-60 DE 5 MM - MONTAGEM.</t>
  </si>
  <si>
    <t>13.4</t>
  </si>
  <si>
    <t xml:space="preserve">CONCRETAGEM DE MURETA COM CONCRETO USINADO BOMBEAVEL, CLASSE DE RESISTENCIA C30, COM BRITA 0 E 1, SLUMP = 100 +/- 20 MM, INCLUI SERVICO DE BOMBEAMENTO </t>
  </si>
  <si>
    <t>SUBTOTAL ITEM 13:</t>
  </si>
  <si>
    <t xml:space="preserve">EXECUÇÃO DE ATERRO DAS CABEÇEIRAS </t>
  </si>
  <si>
    <t>14.1</t>
  </si>
  <si>
    <t>REATERRO MECANIZADO DE VALA COM ESCAVADEIRA HIDRÁULICO,  INCLUSO COMPACTAÇÃO, COM MATERIAL PROVINIENTE DA PAVIMENTAÇÃO, INCLUSO EMPOLAMENTO</t>
  </si>
  <si>
    <t>14.2</t>
  </si>
  <si>
    <t>14.3</t>
  </si>
  <si>
    <t>14.4</t>
  </si>
  <si>
    <t>SUBTOTAL ITEM 14:</t>
  </si>
  <si>
    <t>TOTAL DO ORÇAMENTO</t>
  </si>
  <si>
    <t>Observações:</t>
  </si>
  <si>
    <t xml:space="preserve">  - Data base de referência: </t>
  </si>
  <si>
    <t>SINAPI 20/09/2021</t>
  </si>
  <si>
    <t xml:space="preserve">  - Código:</t>
  </si>
  <si>
    <t>PCI.818.01</t>
  </si>
  <si>
    <t xml:space="preserve">  - Encargos:</t>
  </si>
  <si>
    <t xml:space="preserve">  - BDI</t>
  </si>
  <si>
    <t xml:space="preserve">  - Nome do Responsável:</t>
  </si>
  <si>
    <t>Paula Orvana G. Wiebbeling</t>
  </si>
  <si>
    <t>Triunfo/RS, 07 de outubro de 2021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</si>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</sst>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0.0"/>
    <numFmt numFmtId="166" formatCode="&quot;R$&quot;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sz val="12"/>
      <name val="Arial"/>
      <family val="2"/>
    </font>
    <font>
      <u/>
      <sz val="12"/>
      <color theme="1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11"/>
      <color rgb="FF000000"/>
      <name val="Arial"/>
      <family val="2"/>
    </font>
    <font>
      <sz val="14"/>
      <color rgb="FF000000"/>
      <name val="Arial"/>
      <family val="2"/>
    </font>
    <font>
      <sz val="14"/>
      <name val="Arial"/>
      <family val="2"/>
    </font>
    <font>
      <sz val="12"/>
      <color theme="1"/>
      <name val="Arial"/>
      <family val="2"/>
    </font>
    <font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96">
    <xf numFmtId="0" fontId="0" fillId="0" borderId="0" xfId="0"/>
    <xf numFmtId="0" fontId="4" fillId="2" borderId="0" xfId="4" applyFont="1" applyFill="1" applyAlignment="1">
      <alignment vertical="top"/>
    </xf>
    <xf numFmtId="0" fontId="4" fillId="2" borderId="0" xfId="4" applyFont="1" applyFill="1" applyAlignment="1">
      <alignment horizontal="left" vertical="top"/>
    </xf>
    <xf numFmtId="0" fontId="4" fillId="0" borderId="0" xfId="4" applyFont="1" applyAlignment="1">
      <alignment horizontal="left" vertical="top"/>
    </xf>
    <xf numFmtId="164" fontId="8" fillId="3" borderId="12" xfId="4" applyNumberFormat="1" applyFont="1" applyFill="1" applyBorder="1" applyAlignment="1">
      <alignment horizontal="center" vertical="center" wrapText="1"/>
    </xf>
    <xf numFmtId="0" fontId="4" fillId="2" borderId="0" xfId="4" applyFont="1" applyFill="1" applyAlignment="1">
      <alignment horizontal="center" vertical="center"/>
    </xf>
    <xf numFmtId="0" fontId="4" fillId="0" borderId="0" xfId="4" applyFont="1" applyAlignment="1">
      <alignment horizontal="center" vertical="center"/>
    </xf>
    <xf numFmtId="1" fontId="9" fillId="4" borderId="9" xfId="4" applyNumberFormat="1" applyFont="1" applyFill="1" applyBorder="1" applyAlignment="1">
      <alignment horizontal="center" vertical="center" shrinkToFit="1"/>
    </xf>
    <xf numFmtId="0" fontId="4" fillId="2" borderId="0" xfId="4" applyFont="1" applyFill="1" applyAlignment="1">
      <alignment vertical="center" wrapText="1"/>
    </xf>
    <xf numFmtId="165" fontId="10" fillId="2" borderId="12" xfId="4" applyNumberFormat="1" applyFont="1" applyFill="1" applyBorder="1" applyAlignment="1">
      <alignment horizontal="center" vertical="center" shrinkToFit="1"/>
    </xf>
    <xf numFmtId="0" fontId="10" fillId="0" borderId="12" xfId="4" applyFont="1" applyBorder="1" applyAlignment="1">
      <alignment horizontal="center" vertical="center" wrapText="1" shrinkToFit="1"/>
    </xf>
    <xf numFmtId="2" fontId="10" fillId="2" borderId="12" xfId="4" applyNumberFormat="1" applyFont="1" applyFill="1" applyBorder="1" applyAlignment="1">
      <alignment horizontal="center" vertical="center" wrapText="1"/>
    </xf>
    <xf numFmtId="0" fontId="10" fillId="0" borderId="12" xfId="4" applyFont="1" applyBorder="1" applyAlignment="1">
      <alignment horizontal="center" vertical="center" wrapText="1"/>
    </xf>
    <xf numFmtId="164" fontId="10" fillId="0" borderId="12" xfId="4" applyNumberFormat="1" applyFont="1" applyBorder="1" applyAlignment="1">
      <alignment horizontal="center" vertical="center" wrapText="1" shrinkToFit="1"/>
    </xf>
    <xf numFmtId="164" fontId="10" fillId="2" borderId="12" xfId="4" applyNumberFormat="1" applyFont="1" applyFill="1" applyBorder="1" applyAlignment="1">
      <alignment horizontal="center" vertical="center" wrapText="1" shrinkToFit="1"/>
    </xf>
    <xf numFmtId="164" fontId="10" fillId="2" borderId="12" xfId="4" applyNumberFormat="1" applyFont="1" applyFill="1" applyBorder="1" applyAlignment="1">
      <alignment horizontal="center" vertical="center" shrinkToFit="1"/>
    </xf>
    <xf numFmtId="10" fontId="10" fillId="2" borderId="12" xfId="4" applyNumberFormat="1" applyFont="1" applyFill="1" applyBorder="1" applyAlignment="1">
      <alignment horizontal="center" vertical="center" wrapText="1" shrinkToFit="1"/>
    </xf>
    <xf numFmtId="0" fontId="4" fillId="2" borderId="0" xfId="4" applyFont="1" applyFill="1" applyAlignment="1">
      <alignment vertical="center"/>
    </xf>
    <xf numFmtId="164" fontId="4" fillId="2" borderId="0" xfId="4" applyNumberFormat="1" applyFont="1" applyFill="1" applyAlignment="1">
      <alignment vertical="center" wrapText="1"/>
    </xf>
    <xf numFmtId="166" fontId="9" fillId="2" borderId="10" xfId="4" applyNumberFormat="1" applyFont="1" applyFill="1" applyBorder="1" applyAlignment="1">
      <alignment horizontal="center" vertical="center" shrinkToFit="1"/>
    </xf>
    <xf numFmtId="0" fontId="10" fillId="2" borderId="12" xfId="4" applyFont="1" applyFill="1" applyBorder="1" applyAlignment="1">
      <alignment horizontal="center" vertical="center" wrapText="1"/>
    </xf>
    <xf numFmtId="0" fontId="11" fillId="2" borderId="0" xfId="4" applyFont="1" applyFill="1" applyAlignment="1">
      <alignment vertical="center" wrapText="1"/>
    </xf>
    <xf numFmtId="0" fontId="11" fillId="2" borderId="0" xfId="4" applyFont="1" applyFill="1" applyAlignment="1">
      <alignment vertical="top"/>
    </xf>
    <xf numFmtId="0" fontId="11" fillId="2" borderId="0" xfId="4" applyFont="1" applyFill="1" applyAlignment="1">
      <alignment horizontal="left" vertical="top"/>
    </xf>
    <xf numFmtId="0" fontId="11" fillId="0" borderId="0" xfId="4" applyFont="1" applyAlignment="1">
      <alignment horizontal="left" vertical="top"/>
    </xf>
    <xf numFmtId="164" fontId="11" fillId="2" borderId="0" xfId="4" applyNumberFormat="1" applyFont="1" applyFill="1" applyAlignment="1">
      <alignment vertical="center" wrapText="1"/>
    </xf>
    <xf numFmtId="0" fontId="11" fillId="2" borderId="0" xfId="4" applyFont="1" applyFill="1" applyAlignment="1">
      <alignment vertical="center"/>
    </xf>
    <xf numFmtId="0" fontId="10" fillId="2" borderId="12" xfId="4" applyFont="1" applyFill="1" applyBorder="1" applyAlignment="1">
      <alignment horizontal="center" vertical="center" wrapText="1" shrinkToFit="1"/>
    </xf>
    <xf numFmtId="164" fontId="4" fillId="2" borderId="0" xfId="4" applyNumberFormat="1" applyFont="1" applyFill="1" applyAlignment="1">
      <alignment vertical="center"/>
    </xf>
    <xf numFmtId="165" fontId="10" fillId="2" borderId="9" xfId="4" applyNumberFormat="1" applyFont="1" applyFill="1" applyBorder="1" applyAlignment="1">
      <alignment horizontal="center" vertical="center" shrinkToFit="1"/>
    </xf>
    <xf numFmtId="0" fontId="9" fillId="4" borderId="10" xfId="4" applyFont="1" applyFill="1" applyBorder="1" applyAlignment="1">
      <alignment vertical="center"/>
    </xf>
    <xf numFmtId="0" fontId="9" fillId="4" borderId="11" xfId="4" applyFont="1" applyFill="1" applyBorder="1" applyAlignment="1">
      <alignment vertical="center"/>
    </xf>
    <xf numFmtId="164" fontId="12" fillId="2" borderId="0" xfId="4" applyNumberFormat="1" applyFont="1" applyFill="1" applyAlignment="1">
      <alignment vertical="center" wrapText="1"/>
    </xf>
    <xf numFmtId="0" fontId="12" fillId="2" borderId="0" xfId="4" applyFont="1" applyFill="1" applyAlignment="1">
      <alignment vertical="center" wrapText="1"/>
    </xf>
    <xf numFmtId="0" fontId="12" fillId="2" borderId="0" xfId="4" applyFont="1" applyFill="1" applyAlignment="1">
      <alignment vertical="top"/>
    </xf>
    <xf numFmtId="0" fontId="12" fillId="2" borderId="0" xfId="4" applyFont="1" applyFill="1" applyAlignment="1">
      <alignment horizontal="left" vertical="top"/>
    </xf>
    <xf numFmtId="0" fontId="12" fillId="0" borderId="0" xfId="4" applyFont="1" applyAlignment="1">
      <alignment horizontal="left" vertical="top"/>
    </xf>
    <xf numFmtId="20" fontId="4" fillId="2" borderId="0" xfId="4" applyNumberFormat="1" applyFont="1" applyFill="1" applyAlignment="1">
      <alignment vertical="center" wrapText="1"/>
    </xf>
    <xf numFmtId="43" fontId="4" fillId="2" borderId="0" xfId="1" applyFont="1" applyFill="1" applyBorder="1" applyAlignment="1">
      <alignment vertical="center" wrapText="1"/>
    </xf>
    <xf numFmtId="166" fontId="13" fillId="4" borderId="12" xfId="4" applyNumberFormat="1" applyFont="1" applyFill="1" applyBorder="1" applyAlignment="1">
      <alignment horizontal="center" vertical="center" shrinkToFit="1"/>
    </xf>
    <xf numFmtId="44" fontId="4" fillId="2" borderId="0" xfId="2" applyFont="1" applyFill="1" applyBorder="1" applyAlignment="1">
      <alignment vertical="center" wrapText="1"/>
    </xf>
    <xf numFmtId="0" fontId="3" fillId="2" borderId="0" xfId="4" applyFont="1" applyFill="1" applyAlignment="1">
      <alignment horizontal="center" vertical="top"/>
    </xf>
    <xf numFmtId="0" fontId="14" fillId="2" borderId="0" xfId="4" applyFont="1" applyFill="1" applyAlignment="1">
      <alignment horizontal="left" vertical="top"/>
    </xf>
    <xf numFmtId="0" fontId="15" fillId="2" borderId="0" xfId="4" applyFont="1" applyFill="1" applyAlignment="1">
      <alignment horizontal="center" vertical="center"/>
    </xf>
    <xf numFmtId="0" fontId="14" fillId="2" borderId="0" xfId="4" applyFont="1" applyFill="1" applyAlignment="1">
      <alignment horizontal="center" vertical="center"/>
    </xf>
    <xf numFmtId="164" fontId="14" fillId="2" borderId="0" xfId="4" applyNumberFormat="1" applyFont="1" applyFill="1" applyAlignment="1">
      <alignment horizontal="center" vertical="center"/>
    </xf>
    <xf numFmtId="0" fontId="16" fillId="2" borderId="0" xfId="0" applyFont="1" applyFill="1" applyAlignment="1">
      <alignment vertical="center"/>
    </xf>
    <xf numFmtId="0" fontId="15" fillId="2" borderId="0" xfId="0" applyFont="1" applyFill="1"/>
    <xf numFmtId="0" fontId="17" fillId="2" borderId="0" xfId="0" applyFont="1" applyFill="1"/>
    <xf numFmtId="0" fontId="3" fillId="2" borderId="0" xfId="4" applyFont="1" applyFill="1" applyAlignment="1">
      <alignment horizontal="left" vertical="center"/>
    </xf>
    <xf numFmtId="164" fontId="14" fillId="2" borderId="0" xfId="4" applyNumberFormat="1" applyFont="1" applyFill="1" applyAlignment="1">
      <alignment vertical="center"/>
    </xf>
    <xf numFmtId="14" fontId="16" fillId="2" borderId="0" xfId="0" applyNumberFormat="1" applyFont="1" applyFill="1" applyAlignment="1">
      <alignment horizontal="left" vertical="center"/>
    </xf>
    <xf numFmtId="0" fontId="15" fillId="2" borderId="0" xfId="4" applyFont="1" applyFill="1" applyAlignment="1">
      <alignment horizontal="left" vertical="top"/>
    </xf>
    <xf numFmtId="0" fontId="3" fillId="2" borderId="0" xfId="4" applyFont="1" applyFill="1" applyAlignment="1">
      <alignment horizontal="left" vertical="top"/>
    </xf>
    <xf numFmtId="0" fontId="5" fillId="2" borderId="0" xfId="4" applyFont="1" applyFill="1" applyAlignment="1">
      <alignment horizontal="center" vertical="center"/>
    </xf>
    <xf numFmtId="0" fontId="3" fillId="2" borderId="0" xfId="4" applyFont="1" applyFill="1" applyAlignment="1">
      <alignment horizontal="center" vertical="center"/>
    </xf>
    <xf numFmtId="164" fontId="3" fillId="2" borderId="0" xfId="4" applyNumberFormat="1" applyFont="1" applyFill="1" applyAlignment="1">
      <alignment vertical="center"/>
    </xf>
    <xf numFmtId="0" fontId="4" fillId="2" borderId="0" xfId="4" applyFont="1" applyFill="1" applyAlignment="1">
      <alignment horizontal="center" vertical="top"/>
    </xf>
    <xf numFmtId="0" fontId="12" fillId="2" borderId="0" xfId="4" applyFont="1" applyFill="1" applyAlignment="1">
      <alignment horizontal="center" vertical="center"/>
    </xf>
    <xf numFmtId="164" fontId="4" fillId="2" borderId="0" xfId="4" applyNumberFormat="1" applyFont="1" applyFill="1" applyAlignment="1">
      <alignment horizontal="center" vertical="center"/>
    </xf>
    <xf numFmtId="0" fontId="4" fillId="0" borderId="0" xfId="4" applyFont="1" applyAlignment="1">
      <alignment horizontal="center" vertical="top"/>
    </xf>
    <xf numFmtId="164" fontId="4" fillId="0" borderId="0" xfId="4" applyNumberFormat="1" applyFont="1" applyAlignment="1">
      <alignment horizontal="center" vertical="center"/>
    </xf>
    <xf numFmtId="2" fontId="3" fillId="0" borderId="1" xfId="4" applyNumberFormat="1" applyFont="1" applyBorder="1" applyAlignment="1">
      <alignment horizontal="center" vertical="center" wrapText="1"/>
    </xf>
    <xf numFmtId="2" fontId="3" fillId="0" borderId="2" xfId="4" applyNumberFormat="1" applyFont="1" applyBorder="1" applyAlignment="1">
      <alignment horizontal="center" vertical="center" wrapText="1"/>
    </xf>
    <xf numFmtId="2" fontId="3" fillId="0" borderId="3" xfId="4" applyNumberFormat="1" applyFont="1" applyBorder="1" applyAlignment="1">
      <alignment horizontal="center" vertical="center" wrapText="1"/>
    </xf>
    <xf numFmtId="2" fontId="5" fillId="0" borderId="4" xfId="4" applyNumberFormat="1" applyFont="1" applyBorder="1" applyAlignment="1">
      <alignment horizontal="center" vertical="center" wrapText="1"/>
    </xf>
    <xf numFmtId="2" fontId="3" fillId="0" borderId="0" xfId="4" applyNumberFormat="1" applyFont="1" applyAlignment="1">
      <alignment horizontal="center" vertical="center" wrapText="1"/>
    </xf>
    <xf numFmtId="2" fontId="3" fillId="0" borderId="5" xfId="4" applyNumberFormat="1" applyFont="1" applyBorder="1" applyAlignment="1">
      <alignment horizontal="center" vertical="center" wrapText="1"/>
    </xf>
    <xf numFmtId="2" fontId="6" fillId="0" borderId="4" xfId="4" applyNumberFormat="1" applyFont="1" applyBorder="1" applyAlignment="1">
      <alignment horizontal="center" vertical="center" wrapText="1"/>
    </xf>
    <xf numFmtId="2" fontId="6" fillId="0" borderId="0" xfId="4" applyNumberFormat="1" applyFont="1" applyAlignment="1">
      <alignment horizontal="center" vertical="center" wrapText="1"/>
    </xf>
    <xf numFmtId="2" fontId="6" fillId="0" borderId="5" xfId="4" applyNumberFormat="1" applyFont="1" applyBorder="1" applyAlignment="1">
      <alignment horizontal="center" vertical="center" wrapText="1"/>
    </xf>
    <xf numFmtId="2" fontId="3" fillId="0" borderId="6" xfId="4" applyNumberFormat="1" applyFont="1" applyBorder="1" applyAlignment="1">
      <alignment horizontal="center" vertical="center" wrapText="1"/>
    </xf>
    <xf numFmtId="2" fontId="3" fillId="0" borderId="7" xfId="4" applyNumberFormat="1" applyFont="1" applyBorder="1" applyAlignment="1">
      <alignment horizontal="center" vertical="center" wrapText="1"/>
    </xf>
    <xf numFmtId="2" fontId="3" fillId="0" borderId="8" xfId="4" applyNumberFormat="1" applyFont="1" applyBorder="1" applyAlignment="1">
      <alignment horizontal="center" vertical="center" wrapText="1"/>
    </xf>
    <xf numFmtId="0" fontId="7" fillId="3" borderId="9" xfId="4" applyFont="1" applyFill="1" applyBorder="1" applyAlignment="1">
      <alignment horizontal="left" vertical="center" wrapText="1"/>
    </xf>
    <xf numFmtId="0" fontId="7" fillId="3" borderId="10" xfId="4" applyFont="1" applyFill="1" applyBorder="1" applyAlignment="1">
      <alignment horizontal="left" vertical="center" wrapText="1"/>
    </xf>
    <xf numFmtId="0" fontId="7" fillId="3" borderId="11" xfId="4" applyFont="1" applyFill="1" applyBorder="1" applyAlignment="1">
      <alignment horizontal="left" vertical="center" wrapText="1"/>
    </xf>
    <xf numFmtId="0" fontId="8" fillId="3" borderId="12" xfId="4" applyFont="1" applyFill="1" applyBorder="1" applyAlignment="1">
      <alignment horizontal="center" vertical="center" wrapText="1"/>
    </xf>
    <xf numFmtId="0" fontId="10" fillId="2" borderId="9" xfId="4" applyFont="1" applyFill="1" applyBorder="1" applyAlignment="1">
      <alignment horizontal="left" vertical="center" wrapText="1"/>
    </xf>
    <xf numFmtId="0" fontId="10" fillId="2" borderId="10" xfId="4" applyFont="1" applyFill="1" applyBorder="1" applyAlignment="1">
      <alignment horizontal="left" vertical="center" wrapText="1"/>
    </xf>
    <xf numFmtId="0" fontId="10" fillId="2" borderId="11" xfId="4" applyFont="1" applyFill="1" applyBorder="1" applyAlignment="1">
      <alignment horizontal="left" vertical="center" wrapText="1"/>
    </xf>
    <xf numFmtId="165" fontId="9" fillId="2" borderId="9" xfId="4" applyNumberFormat="1" applyFont="1" applyFill="1" applyBorder="1" applyAlignment="1">
      <alignment horizontal="right" vertical="center" shrinkToFit="1"/>
    </xf>
    <xf numFmtId="165" fontId="9" fillId="2" borderId="10" xfId="4" applyNumberFormat="1" applyFont="1" applyFill="1" applyBorder="1" applyAlignment="1">
      <alignment horizontal="right" vertical="center" shrinkToFit="1"/>
    </xf>
    <xf numFmtId="0" fontId="9" fillId="4" borderId="10" xfId="4" applyFont="1" applyFill="1" applyBorder="1" applyAlignment="1">
      <alignment horizontal="left" vertical="center"/>
    </xf>
    <xf numFmtId="0" fontId="9" fillId="4" borderId="11" xfId="4" applyFont="1" applyFill="1" applyBorder="1" applyAlignment="1">
      <alignment horizontal="left" vertical="center"/>
    </xf>
    <xf numFmtId="164" fontId="8" fillId="3" borderId="12" xfId="4" applyNumberFormat="1" applyFont="1" applyFill="1" applyBorder="1" applyAlignment="1">
      <alignment horizontal="center" vertical="center" wrapText="1"/>
    </xf>
    <xf numFmtId="0" fontId="9" fillId="4" borderId="12" xfId="4" applyFont="1" applyFill="1" applyBorder="1" applyAlignment="1">
      <alignment horizontal="left" vertical="center"/>
    </xf>
    <xf numFmtId="165" fontId="13" fillId="4" borderId="9" xfId="4" applyNumberFormat="1" applyFont="1" applyFill="1" applyBorder="1" applyAlignment="1">
      <alignment horizontal="center" vertical="center" shrinkToFit="1"/>
    </xf>
    <xf numFmtId="165" fontId="13" fillId="4" borderId="10" xfId="4" applyNumberFormat="1" applyFont="1" applyFill="1" applyBorder="1" applyAlignment="1">
      <alignment horizontal="center" vertical="center" shrinkToFit="1"/>
    </xf>
    <xf numFmtId="165" fontId="13" fillId="4" borderId="11" xfId="4" applyNumberFormat="1" applyFont="1" applyFill="1" applyBorder="1" applyAlignment="1">
      <alignment horizontal="center" vertical="center" shrinkToFit="1"/>
    </xf>
    <xf numFmtId="0" fontId="16" fillId="2" borderId="0" xfId="0" applyFont="1" applyFill="1" applyAlignment="1">
      <alignment horizontal="left" vertical="center"/>
    </xf>
    <xf numFmtId="0" fontId="16" fillId="2" borderId="0" xfId="0" quotePrefix="1" applyFont="1" applyFill="1" applyAlignment="1">
      <alignment horizontal="left" vertical="center"/>
    </xf>
    <xf numFmtId="14" fontId="16" fillId="2" borderId="0" xfId="0" applyNumberFormat="1" applyFont="1" applyFill="1" applyAlignment="1">
      <alignment horizontal="left" vertical="center"/>
    </xf>
    <xf numFmtId="164" fontId="14" fillId="2" borderId="0" xfId="4" applyNumberFormat="1" applyFont="1" applyFill="1" applyAlignment="1">
      <alignment horizontal="right" vertical="center"/>
    </xf>
    <xf numFmtId="0" fontId="3" fillId="2" borderId="0" xfId="4" applyFont="1" applyFill="1" applyAlignment="1">
      <alignment horizontal="center" vertical="top"/>
    </xf>
    <xf numFmtId="10" fontId="3" fillId="2" borderId="0" xfId="3" applyNumberFormat="1" applyFont="1" applyFill="1" applyBorder="1" applyAlignment="1">
      <alignment horizontal="left" vertical="center"/>
    </xf>
  </cellXfs>
  <cellStyles count="5">
    <cellStyle name="Moeda" xfId="2" builtinId="4"/>
    <cellStyle name="Normal" xfId="0" builtinId="0"/>
    <cellStyle name="Normal 2" xfId="4" xr:uid="{DF975180-A111-424F-A98B-31C1B0FB997E}"/>
    <cellStyle name="Porcentagem" xfId="3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7</xdr:row>
      <xdr:rowOff>0</xdr:rowOff>
    </xdr:from>
    <xdr:to>
      <xdr:col>17</xdr:col>
      <xdr:colOff>0</xdr:colOff>
      <xdr:row>7</xdr:row>
      <xdr:rowOff>26035</xdr:rowOff>
    </xdr:to>
    <xdr:sp macro="" textlink="">
      <xdr:nvSpPr>
        <xdr:cNvPr id="2" name="Shape 3">
          <a:extLst>
            <a:ext uri="{FF2B5EF4-FFF2-40B4-BE49-F238E27FC236}">
              <a16:creationId xmlns:a16="http://schemas.microsoft.com/office/drawing/2014/main" id="{2554D82C-F477-423F-BC3E-510852C72953}"/>
            </a:ext>
          </a:extLst>
        </xdr:cNvPr>
        <xdr:cNvSpPr/>
      </xdr:nvSpPr>
      <xdr:spPr>
        <a:xfrm>
          <a:off x="17659350" y="219075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0</xdr:colOff>
      <xdr:row>7</xdr:row>
      <xdr:rowOff>40005</xdr:rowOff>
    </xdr:to>
    <xdr:sp macro="" textlink="">
      <xdr:nvSpPr>
        <xdr:cNvPr id="3" name="Shape 4">
          <a:extLst>
            <a:ext uri="{FF2B5EF4-FFF2-40B4-BE49-F238E27FC236}">
              <a16:creationId xmlns:a16="http://schemas.microsoft.com/office/drawing/2014/main" id="{429DAEFD-704D-4A07-A0AA-6644E96830C9}"/>
            </a:ext>
          </a:extLst>
        </xdr:cNvPr>
        <xdr:cNvSpPr/>
      </xdr:nvSpPr>
      <xdr:spPr>
        <a:xfrm>
          <a:off x="17659350" y="219075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2</xdr:col>
      <xdr:colOff>112058</xdr:colOff>
      <xdr:row>0</xdr:row>
      <xdr:rowOff>33618</xdr:rowOff>
    </xdr:from>
    <xdr:to>
      <xdr:col>3</xdr:col>
      <xdr:colOff>136646</xdr:colOff>
      <xdr:row>3</xdr:row>
      <xdr:rowOff>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4EC15607-F11D-49A3-A20A-5AE06D4F71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21683" y="33618"/>
          <a:ext cx="691338" cy="8522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0</xdr:colOff>
      <xdr:row>111</xdr:row>
      <xdr:rowOff>26035</xdr:rowOff>
    </xdr:to>
    <xdr:sp macro="" textlink="">
      <xdr:nvSpPr>
        <xdr:cNvPr id="5" name="Shape 3">
          <a:extLst>
            <a:ext uri="{FF2B5EF4-FFF2-40B4-BE49-F238E27FC236}">
              <a16:creationId xmlns:a16="http://schemas.microsoft.com/office/drawing/2014/main" id="{BFBA9749-0299-4F82-AFDF-3E89724E56BA}"/>
            </a:ext>
          </a:extLst>
        </xdr:cNvPr>
        <xdr:cNvSpPr/>
      </xdr:nvSpPr>
      <xdr:spPr>
        <a:xfrm>
          <a:off x="17659350" y="36566475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0</xdr:colOff>
      <xdr:row>111</xdr:row>
      <xdr:rowOff>40005</xdr:rowOff>
    </xdr:to>
    <xdr:sp macro="" textlink="">
      <xdr:nvSpPr>
        <xdr:cNvPr id="6" name="Shape 4">
          <a:extLst>
            <a:ext uri="{FF2B5EF4-FFF2-40B4-BE49-F238E27FC236}">
              <a16:creationId xmlns:a16="http://schemas.microsoft.com/office/drawing/2014/main" id="{1C5FFEE7-6B29-4054-9D59-9261FFAF3434}"/>
            </a:ext>
          </a:extLst>
        </xdr:cNvPr>
        <xdr:cNvSpPr/>
      </xdr:nvSpPr>
      <xdr:spPr>
        <a:xfrm>
          <a:off x="17659350" y="36566475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0</xdr:colOff>
      <xdr:row>111</xdr:row>
      <xdr:rowOff>26035</xdr:rowOff>
    </xdr:to>
    <xdr:sp macro="" textlink="">
      <xdr:nvSpPr>
        <xdr:cNvPr id="7" name="Shape 3">
          <a:extLst>
            <a:ext uri="{FF2B5EF4-FFF2-40B4-BE49-F238E27FC236}">
              <a16:creationId xmlns:a16="http://schemas.microsoft.com/office/drawing/2014/main" id="{6608BBB1-239B-483D-B03B-1C4BFB2B32CE}"/>
            </a:ext>
          </a:extLst>
        </xdr:cNvPr>
        <xdr:cNvSpPr/>
      </xdr:nvSpPr>
      <xdr:spPr>
        <a:xfrm>
          <a:off x="17659350" y="36566475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0</xdr:colOff>
      <xdr:row>111</xdr:row>
      <xdr:rowOff>40005</xdr:rowOff>
    </xdr:to>
    <xdr:sp macro="" textlink="">
      <xdr:nvSpPr>
        <xdr:cNvPr id="8" name="Shape 4">
          <a:extLst>
            <a:ext uri="{FF2B5EF4-FFF2-40B4-BE49-F238E27FC236}">
              <a16:creationId xmlns:a16="http://schemas.microsoft.com/office/drawing/2014/main" id="{6065EFA9-E0B3-49C7-A59C-F4B8F2D58645}"/>
            </a:ext>
          </a:extLst>
        </xdr:cNvPr>
        <xdr:cNvSpPr/>
      </xdr:nvSpPr>
      <xdr:spPr>
        <a:xfrm>
          <a:off x="17659350" y="36566475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0</xdr:colOff>
      <xdr:row>111</xdr:row>
      <xdr:rowOff>26035</xdr:rowOff>
    </xdr:to>
    <xdr:sp macro="" textlink="">
      <xdr:nvSpPr>
        <xdr:cNvPr id="9" name="Shape 3">
          <a:extLst>
            <a:ext uri="{FF2B5EF4-FFF2-40B4-BE49-F238E27FC236}">
              <a16:creationId xmlns:a16="http://schemas.microsoft.com/office/drawing/2014/main" id="{351F4EB1-83E2-4AB1-A0D4-A1D1CE504591}"/>
            </a:ext>
          </a:extLst>
        </xdr:cNvPr>
        <xdr:cNvSpPr/>
      </xdr:nvSpPr>
      <xdr:spPr>
        <a:xfrm>
          <a:off x="17659350" y="36566475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0</xdr:colOff>
      <xdr:row>111</xdr:row>
      <xdr:rowOff>40005</xdr:rowOff>
    </xdr:to>
    <xdr:sp macro="" textlink="">
      <xdr:nvSpPr>
        <xdr:cNvPr id="10" name="Shape 4">
          <a:extLst>
            <a:ext uri="{FF2B5EF4-FFF2-40B4-BE49-F238E27FC236}">
              <a16:creationId xmlns:a16="http://schemas.microsoft.com/office/drawing/2014/main" id="{4AAD40D5-F080-4568-85C1-175F7276D841}"/>
            </a:ext>
          </a:extLst>
        </xdr:cNvPr>
        <xdr:cNvSpPr/>
      </xdr:nvSpPr>
      <xdr:spPr>
        <a:xfrm>
          <a:off x="17659350" y="36566475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0</xdr:colOff>
      <xdr:row>111</xdr:row>
      <xdr:rowOff>26035</xdr:rowOff>
    </xdr:to>
    <xdr:sp macro="" textlink="">
      <xdr:nvSpPr>
        <xdr:cNvPr id="11" name="Shape 3">
          <a:extLst>
            <a:ext uri="{FF2B5EF4-FFF2-40B4-BE49-F238E27FC236}">
              <a16:creationId xmlns:a16="http://schemas.microsoft.com/office/drawing/2014/main" id="{C27FD04F-C533-4581-9D7A-2601C8EA96FC}"/>
            </a:ext>
          </a:extLst>
        </xdr:cNvPr>
        <xdr:cNvSpPr/>
      </xdr:nvSpPr>
      <xdr:spPr>
        <a:xfrm>
          <a:off x="17659350" y="36566475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0</xdr:colOff>
      <xdr:row>111</xdr:row>
      <xdr:rowOff>40005</xdr:rowOff>
    </xdr:to>
    <xdr:sp macro="" textlink="">
      <xdr:nvSpPr>
        <xdr:cNvPr id="12" name="Shape 4">
          <a:extLst>
            <a:ext uri="{FF2B5EF4-FFF2-40B4-BE49-F238E27FC236}">
              <a16:creationId xmlns:a16="http://schemas.microsoft.com/office/drawing/2014/main" id="{F8910D2F-48EB-4D20-8002-FA09D618F811}"/>
            </a:ext>
          </a:extLst>
        </xdr:cNvPr>
        <xdr:cNvSpPr/>
      </xdr:nvSpPr>
      <xdr:spPr>
        <a:xfrm>
          <a:off x="17659350" y="36566475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0</xdr:colOff>
      <xdr:row>111</xdr:row>
      <xdr:rowOff>26035</xdr:rowOff>
    </xdr:to>
    <xdr:sp macro="" textlink="">
      <xdr:nvSpPr>
        <xdr:cNvPr id="13" name="Shape 3">
          <a:extLst>
            <a:ext uri="{FF2B5EF4-FFF2-40B4-BE49-F238E27FC236}">
              <a16:creationId xmlns:a16="http://schemas.microsoft.com/office/drawing/2014/main" id="{148C8F26-7E04-407D-92D3-0220E407B943}"/>
            </a:ext>
          </a:extLst>
        </xdr:cNvPr>
        <xdr:cNvSpPr/>
      </xdr:nvSpPr>
      <xdr:spPr>
        <a:xfrm>
          <a:off x="17659350" y="36566475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0</xdr:colOff>
      <xdr:row>111</xdr:row>
      <xdr:rowOff>40005</xdr:rowOff>
    </xdr:to>
    <xdr:sp macro="" textlink="">
      <xdr:nvSpPr>
        <xdr:cNvPr id="14" name="Shape 4">
          <a:extLst>
            <a:ext uri="{FF2B5EF4-FFF2-40B4-BE49-F238E27FC236}">
              <a16:creationId xmlns:a16="http://schemas.microsoft.com/office/drawing/2014/main" id="{25BB9494-98BB-4F3D-9EE5-4D134856B070}"/>
            </a:ext>
          </a:extLst>
        </xdr:cNvPr>
        <xdr:cNvSpPr/>
      </xdr:nvSpPr>
      <xdr:spPr>
        <a:xfrm>
          <a:off x="17659350" y="36566475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oneCellAnchor>
    <xdr:from>
      <xdr:col>17</xdr:col>
      <xdr:colOff>0</xdr:colOff>
      <xdr:row>13</xdr:row>
      <xdr:rowOff>0</xdr:rowOff>
    </xdr:from>
    <xdr:ext cx="0" cy="26035"/>
    <xdr:sp macro="" textlink="">
      <xdr:nvSpPr>
        <xdr:cNvPr id="15" name="Shape 3">
          <a:extLst>
            <a:ext uri="{FF2B5EF4-FFF2-40B4-BE49-F238E27FC236}">
              <a16:creationId xmlns:a16="http://schemas.microsoft.com/office/drawing/2014/main" id="{44F9DD88-BE83-4601-B70D-E3DC7DA39161}"/>
            </a:ext>
          </a:extLst>
        </xdr:cNvPr>
        <xdr:cNvSpPr/>
      </xdr:nvSpPr>
      <xdr:spPr>
        <a:xfrm>
          <a:off x="17659350" y="373380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13</xdr:row>
      <xdr:rowOff>0</xdr:rowOff>
    </xdr:from>
    <xdr:ext cx="0" cy="40005"/>
    <xdr:sp macro="" textlink="">
      <xdr:nvSpPr>
        <xdr:cNvPr id="16" name="Shape 4">
          <a:extLst>
            <a:ext uri="{FF2B5EF4-FFF2-40B4-BE49-F238E27FC236}">
              <a16:creationId xmlns:a16="http://schemas.microsoft.com/office/drawing/2014/main" id="{9C4C51D2-D3DB-43AF-BE17-DBA97E2FCBDC}"/>
            </a:ext>
          </a:extLst>
        </xdr:cNvPr>
        <xdr:cNvSpPr/>
      </xdr:nvSpPr>
      <xdr:spPr>
        <a:xfrm>
          <a:off x="17659350" y="373380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22</xdr:row>
      <xdr:rowOff>0</xdr:rowOff>
    </xdr:from>
    <xdr:ext cx="0" cy="26035"/>
    <xdr:sp macro="" textlink="">
      <xdr:nvSpPr>
        <xdr:cNvPr id="17" name="Shape 3">
          <a:extLst>
            <a:ext uri="{FF2B5EF4-FFF2-40B4-BE49-F238E27FC236}">
              <a16:creationId xmlns:a16="http://schemas.microsoft.com/office/drawing/2014/main" id="{662D5889-26D4-4CF6-90B4-F2D4B4A44B95}"/>
            </a:ext>
          </a:extLst>
        </xdr:cNvPr>
        <xdr:cNvSpPr/>
      </xdr:nvSpPr>
      <xdr:spPr>
        <a:xfrm>
          <a:off x="17659350" y="6619875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22</xdr:row>
      <xdr:rowOff>0</xdr:rowOff>
    </xdr:from>
    <xdr:ext cx="0" cy="40005"/>
    <xdr:sp macro="" textlink="">
      <xdr:nvSpPr>
        <xdr:cNvPr id="18" name="Shape 4">
          <a:extLst>
            <a:ext uri="{FF2B5EF4-FFF2-40B4-BE49-F238E27FC236}">
              <a16:creationId xmlns:a16="http://schemas.microsoft.com/office/drawing/2014/main" id="{B91E8103-5C13-4C76-8D6D-D8BDEF93E826}"/>
            </a:ext>
          </a:extLst>
        </xdr:cNvPr>
        <xdr:cNvSpPr/>
      </xdr:nvSpPr>
      <xdr:spPr>
        <a:xfrm>
          <a:off x="17659350" y="6619875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30</xdr:row>
      <xdr:rowOff>0</xdr:rowOff>
    </xdr:from>
    <xdr:ext cx="0" cy="26035"/>
    <xdr:sp macro="" textlink="">
      <xdr:nvSpPr>
        <xdr:cNvPr id="19" name="Shape 3">
          <a:extLst>
            <a:ext uri="{FF2B5EF4-FFF2-40B4-BE49-F238E27FC236}">
              <a16:creationId xmlns:a16="http://schemas.microsoft.com/office/drawing/2014/main" id="{DF3B6779-91D5-4E2D-8B07-431C5B2559A5}"/>
            </a:ext>
          </a:extLst>
        </xdr:cNvPr>
        <xdr:cNvSpPr/>
      </xdr:nvSpPr>
      <xdr:spPr>
        <a:xfrm>
          <a:off x="17659350" y="950595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30</xdr:row>
      <xdr:rowOff>0</xdr:rowOff>
    </xdr:from>
    <xdr:ext cx="0" cy="40005"/>
    <xdr:sp macro="" textlink="">
      <xdr:nvSpPr>
        <xdr:cNvPr id="20" name="Shape 4">
          <a:extLst>
            <a:ext uri="{FF2B5EF4-FFF2-40B4-BE49-F238E27FC236}">
              <a16:creationId xmlns:a16="http://schemas.microsoft.com/office/drawing/2014/main" id="{E165AA6E-BF09-405C-8C07-1B79D5BF1252}"/>
            </a:ext>
          </a:extLst>
        </xdr:cNvPr>
        <xdr:cNvSpPr/>
      </xdr:nvSpPr>
      <xdr:spPr>
        <a:xfrm>
          <a:off x="17659350" y="950595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107</xdr:row>
      <xdr:rowOff>0</xdr:rowOff>
    </xdr:from>
    <xdr:ext cx="0" cy="26035"/>
    <xdr:sp macro="" textlink="">
      <xdr:nvSpPr>
        <xdr:cNvPr id="21" name="Shape 3">
          <a:extLst>
            <a:ext uri="{FF2B5EF4-FFF2-40B4-BE49-F238E27FC236}">
              <a16:creationId xmlns:a16="http://schemas.microsoft.com/office/drawing/2014/main" id="{5B97E3EC-5865-4B34-89B7-D794A2B22E2C}"/>
            </a:ext>
          </a:extLst>
        </xdr:cNvPr>
        <xdr:cNvSpPr/>
      </xdr:nvSpPr>
      <xdr:spPr>
        <a:xfrm>
          <a:off x="17659350" y="3556635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107</xdr:row>
      <xdr:rowOff>0</xdr:rowOff>
    </xdr:from>
    <xdr:ext cx="0" cy="40005"/>
    <xdr:sp macro="" textlink="">
      <xdr:nvSpPr>
        <xdr:cNvPr id="22" name="Shape 4">
          <a:extLst>
            <a:ext uri="{FF2B5EF4-FFF2-40B4-BE49-F238E27FC236}">
              <a16:creationId xmlns:a16="http://schemas.microsoft.com/office/drawing/2014/main" id="{7D38B103-B00B-4522-B5F5-3EC5D0846F82}"/>
            </a:ext>
          </a:extLst>
        </xdr:cNvPr>
        <xdr:cNvSpPr/>
      </xdr:nvSpPr>
      <xdr:spPr>
        <a:xfrm>
          <a:off x="17659350" y="3556635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111</xdr:row>
      <xdr:rowOff>0</xdr:rowOff>
    </xdr:from>
    <xdr:ext cx="0" cy="26035"/>
    <xdr:sp macro="" textlink="">
      <xdr:nvSpPr>
        <xdr:cNvPr id="23" name="Shape 3">
          <a:extLst>
            <a:ext uri="{FF2B5EF4-FFF2-40B4-BE49-F238E27FC236}">
              <a16:creationId xmlns:a16="http://schemas.microsoft.com/office/drawing/2014/main" id="{F8447B48-0A11-49DF-8D10-95AE7CB9BB7D}"/>
            </a:ext>
          </a:extLst>
        </xdr:cNvPr>
        <xdr:cNvSpPr/>
      </xdr:nvSpPr>
      <xdr:spPr>
        <a:xfrm>
          <a:off x="17659350" y="36566475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111</xdr:row>
      <xdr:rowOff>0</xdr:rowOff>
    </xdr:from>
    <xdr:ext cx="0" cy="40005"/>
    <xdr:sp macro="" textlink="">
      <xdr:nvSpPr>
        <xdr:cNvPr id="24" name="Shape 4">
          <a:extLst>
            <a:ext uri="{FF2B5EF4-FFF2-40B4-BE49-F238E27FC236}">
              <a16:creationId xmlns:a16="http://schemas.microsoft.com/office/drawing/2014/main" id="{71B50261-C4D9-46FB-A4D7-2AE1BF7D30B7}"/>
            </a:ext>
          </a:extLst>
        </xdr:cNvPr>
        <xdr:cNvSpPr/>
      </xdr:nvSpPr>
      <xdr:spPr>
        <a:xfrm>
          <a:off x="17659350" y="36566475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AULA/Rua%20Osvino/Atualizados%2004.10/Or&#231;amento%20011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L + MÃO DE OBRA"/>
      <sheetName val="Memorial de Cálculo"/>
      <sheetName val="Composições Próprias"/>
      <sheetName val="CRONOGRAMA"/>
      <sheetName val="Planilha1"/>
      <sheetName val="Volume"/>
      <sheetName val="Pavimento Flexivel"/>
    </sheetNames>
    <sheetDataSet>
      <sheetData sheetId="0"/>
      <sheetData sheetId="1">
        <row r="3">
          <cell r="I3">
            <v>2.88</v>
          </cell>
        </row>
        <row r="4">
          <cell r="I4">
            <v>3</v>
          </cell>
        </row>
        <row r="5">
          <cell r="I5">
            <v>3</v>
          </cell>
        </row>
        <row r="6">
          <cell r="I6">
            <v>713</v>
          </cell>
        </row>
        <row r="8">
          <cell r="I8">
            <v>521.45000000000005</v>
          </cell>
        </row>
        <row r="9">
          <cell r="I9">
            <v>124.73999999999998</v>
          </cell>
        </row>
        <row r="10">
          <cell r="I10">
            <v>5775.3</v>
          </cell>
        </row>
        <row r="12">
          <cell r="I12">
            <v>713</v>
          </cell>
        </row>
        <row r="13">
          <cell r="I13">
            <v>998.19999999999993</v>
          </cell>
        </row>
        <row r="14">
          <cell r="I14">
            <v>210</v>
          </cell>
        </row>
        <row r="15">
          <cell r="I15">
            <v>7</v>
          </cell>
        </row>
        <row r="16">
          <cell r="I16">
            <v>140</v>
          </cell>
        </row>
        <row r="17">
          <cell r="I17">
            <v>140</v>
          </cell>
        </row>
        <row r="18">
          <cell r="I18">
            <v>192.40708113989714</v>
          </cell>
        </row>
        <row r="19">
          <cell r="I19">
            <v>17.592918860102856</v>
          </cell>
        </row>
        <row r="21">
          <cell r="I21">
            <v>841.33999999999992</v>
          </cell>
        </row>
        <row r="22">
          <cell r="I22">
            <v>791.43000000000006</v>
          </cell>
        </row>
        <row r="23">
          <cell r="I23">
            <v>68576.34</v>
          </cell>
        </row>
        <row r="24">
          <cell r="I24">
            <v>2285.8779999999997</v>
          </cell>
        </row>
        <row r="25">
          <cell r="I25">
            <v>5133.6000000000004</v>
          </cell>
        </row>
        <row r="26">
          <cell r="I26">
            <v>5133.6000000000004</v>
          </cell>
        </row>
        <row r="27">
          <cell r="I27">
            <v>308.01600000000002</v>
          </cell>
        </row>
        <row r="28">
          <cell r="I28">
            <v>9240.4800000000014</v>
          </cell>
        </row>
        <row r="29">
          <cell r="I29">
            <v>308.01600000000002</v>
          </cell>
        </row>
        <row r="31">
          <cell r="I31">
            <v>85.56</v>
          </cell>
        </row>
        <row r="32">
          <cell r="I32">
            <v>2139</v>
          </cell>
        </row>
        <row r="41">
          <cell r="I41">
            <v>21</v>
          </cell>
        </row>
        <row r="42">
          <cell r="I42">
            <v>882</v>
          </cell>
        </row>
        <row r="43">
          <cell r="I43">
            <v>2.1</v>
          </cell>
        </row>
        <row r="44">
          <cell r="I44">
            <v>88.199999999999989</v>
          </cell>
        </row>
        <row r="45">
          <cell r="I45">
            <v>42</v>
          </cell>
        </row>
        <row r="47">
          <cell r="I47">
            <v>32</v>
          </cell>
        </row>
        <row r="48">
          <cell r="I48">
            <v>1.44</v>
          </cell>
        </row>
        <row r="49">
          <cell r="I49">
            <v>12.48</v>
          </cell>
        </row>
        <row r="50">
          <cell r="I50">
            <v>79.64</v>
          </cell>
        </row>
        <row r="51">
          <cell r="I51">
            <v>1.44</v>
          </cell>
        </row>
        <row r="52">
          <cell r="I52">
            <v>0.72</v>
          </cell>
        </row>
        <row r="53">
          <cell r="I53">
            <v>29.62</v>
          </cell>
        </row>
        <row r="54">
          <cell r="I54">
            <v>8.1311999999999998</v>
          </cell>
        </row>
        <row r="71">
          <cell r="I71">
            <v>20.91</v>
          </cell>
        </row>
        <row r="72">
          <cell r="I72">
            <v>333.62</v>
          </cell>
        </row>
        <row r="73">
          <cell r="I73">
            <v>10.235999999999999</v>
          </cell>
        </row>
        <row r="74">
          <cell r="I74">
            <v>0.2</v>
          </cell>
        </row>
        <row r="82">
          <cell r="I82">
            <v>219.24</v>
          </cell>
        </row>
        <row r="83">
          <cell r="I83">
            <v>219.24</v>
          </cell>
        </row>
        <row r="84">
          <cell r="I84">
            <v>18</v>
          </cell>
        </row>
        <row r="85">
          <cell r="I85">
            <v>49</v>
          </cell>
        </row>
      </sheetData>
      <sheetData sheetId="2">
        <row r="15">
          <cell r="I15">
            <v>144.3621</v>
          </cell>
          <cell r="J15">
            <v>78.14</v>
          </cell>
        </row>
        <row r="25">
          <cell r="I25">
            <v>4.1744000000000003</v>
          </cell>
          <cell r="J25">
            <v>929.42</v>
          </cell>
        </row>
        <row r="56">
          <cell r="K56">
            <v>1532.9066666666668</v>
          </cell>
        </row>
        <row r="57">
          <cell r="K57">
            <v>383.22666666666669</v>
          </cell>
        </row>
        <row r="75">
          <cell r="I75">
            <v>1130.9933659999999</v>
          </cell>
          <cell r="J75">
            <v>21.539705999999999</v>
          </cell>
        </row>
        <row r="89">
          <cell r="I89">
            <v>6.9203940000000017</v>
          </cell>
          <cell r="J89">
            <v>0.22491</v>
          </cell>
        </row>
        <row r="97">
          <cell r="I97">
            <v>3.6493000000000002</v>
          </cell>
          <cell r="J97">
            <v>9.6675000000000004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9556B-5358-484F-820C-62AAC26AF592}">
  <sheetPr>
    <pageSetUpPr fitToPage="1"/>
  </sheetPr>
  <dimension ref="B1:AQ254"/>
  <sheetViews>
    <sheetView tabSelected="1" zoomScale="85" zoomScaleNormal="85" workbookViewId="0">
      <pane ySplit="7" topLeftCell="A8" activePane="bottomLeft" state="frozen"/>
      <selection pane="bottomLeft" activeCell="R62" sqref="R62"/>
    </sheetView>
  </sheetViews>
  <sheetFormatPr defaultRowHeight="12.75" x14ac:dyDescent="0.25"/>
  <cols>
    <col min="1" max="1" width="3.7109375" style="3" customWidth="1"/>
    <col min="2" max="2" width="8.42578125" style="60" customWidth="1"/>
    <col min="3" max="3" width="10" style="3" customWidth="1"/>
    <col min="4" max="4" width="23.5703125" style="3" customWidth="1"/>
    <col min="5" max="5" width="2.85546875" style="3" customWidth="1"/>
    <col min="6" max="6" width="26.140625" style="3" customWidth="1"/>
    <col min="7" max="7" width="44.42578125" style="3" customWidth="1"/>
    <col min="8" max="8" width="13.140625" style="58" customWidth="1"/>
    <col min="9" max="9" width="8.28515625" style="6" customWidth="1"/>
    <col min="10" max="10" width="13.7109375" style="61" customWidth="1"/>
    <col min="11" max="11" width="15.7109375" style="61" customWidth="1"/>
    <col min="12" max="12" width="15.140625" style="61" customWidth="1"/>
    <col min="13" max="13" width="15.85546875" style="61" customWidth="1"/>
    <col min="14" max="14" width="10.5703125" style="61" customWidth="1"/>
    <col min="15" max="15" width="14.7109375" style="61" customWidth="1"/>
    <col min="16" max="16" width="16.28515625" style="61" customWidth="1"/>
    <col min="17" max="17" width="22.28515625" style="61" bestFit="1" customWidth="1"/>
    <col min="18" max="18" width="16.85546875" style="3" customWidth="1"/>
    <col min="19" max="19" width="12.7109375" style="3" bestFit="1" customWidth="1"/>
    <col min="20" max="20" width="13.140625" style="3" bestFit="1" customWidth="1"/>
    <col min="21" max="21" width="12.42578125" style="3" bestFit="1" customWidth="1"/>
    <col min="22" max="22" width="10.28515625" style="3" bestFit="1" customWidth="1"/>
    <col min="23" max="16384" width="9.140625" style="3"/>
  </cols>
  <sheetData>
    <row r="1" spans="2:43" ht="24" customHeight="1" x14ac:dyDescent="0.25">
      <c r="B1" s="62" t="s">
        <v>0</v>
      </c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4"/>
      <c r="R1" s="1"/>
      <c r="S1" s="1"/>
      <c r="T1" s="1"/>
      <c r="U1" s="1"/>
      <c r="V1" s="1"/>
      <c r="W1" s="1"/>
      <c r="X1" s="1"/>
      <c r="Y1" s="1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</row>
    <row r="2" spans="2:43" ht="23.25" customHeight="1" x14ac:dyDescent="0.25">
      <c r="B2" s="65" t="s">
        <v>1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7"/>
      <c r="R2" s="1"/>
      <c r="S2" s="1"/>
      <c r="T2" s="1"/>
      <c r="U2" s="1"/>
      <c r="V2" s="1"/>
      <c r="W2" s="1"/>
      <c r="X2" s="1"/>
      <c r="Y2" s="1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</row>
    <row r="3" spans="2:43" ht="22.5" customHeight="1" x14ac:dyDescent="0.25">
      <c r="B3" s="68" t="s">
        <v>2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70"/>
      <c r="R3" s="1"/>
      <c r="S3" s="1"/>
      <c r="T3" s="1"/>
      <c r="U3" s="1"/>
      <c r="V3" s="1"/>
      <c r="W3" s="1"/>
      <c r="X3" s="1"/>
      <c r="Y3" s="1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2:43" ht="22.5" customHeight="1" x14ac:dyDescent="0.25">
      <c r="B4" s="71" t="s">
        <v>3</v>
      </c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3"/>
      <c r="R4" s="1"/>
      <c r="S4" s="1"/>
      <c r="T4" s="1"/>
      <c r="U4" s="1"/>
      <c r="V4" s="1"/>
      <c r="W4" s="1"/>
      <c r="X4" s="1"/>
      <c r="Y4" s="1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</row>
    <row r="5" spans="2:43" ht="14.25" customHeight="1" x14ac:dyDescent="0.25">
      <c r="B5" s="74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6"/>
      <c r="R5" s="1"/>
      <c r="S5" s="1"/>
      <c r="T5" s="1"/>
      <c r="U5" s="1"/>
      <c r="V5" s="1"/>
      <c r="W5" s="1"/>
      <c r="X5" s="1"/>
      <c r="Y5" s="1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</row>
    <row r="6" spans="2:43" ht="15.95" customHeight="1" x14ac:dyDescent="0.25">
      <c r="B6" s="77" t="s">
        <v>4</v>
      </c>
      <c r="C6" s="77" t="s">
        <v>5</v>
      </c>
      <c r="D6" s="77" t="s">
        <v>6</v>
      </c>
      <c r="E6" s="77"/>
      <c r="F6" s="77"/>
      <c r="G6" s="77"/>
      <c r="H6" s="77" t="s">
        <v>7</v>
      </c>
      <c r="I6" s="77" t="s">
        <v>8</v>
      </c>
      <c r="J6" s="85" t="s">
        <v>9</v>
      </c>
      <c r="K6" s="85"/>
      <c r="L6" s="85"/>
      <c r="M6" s="85" t="s">
        <v>10</v>
      </c>
      <c r="N6" s="85" t="s">
        <v>11</v>
      </c>
      <c r="O6" s="85" t="s">
        <v>12</v>
      </c>
      <c r="P6" s="85"/>
      <c r="Q6" s="85"/>
      <c r="R6" s="1"/>
      <c r="S6" s="1"/>
      <c r="T6" s="1"/>
      <c r="U6" s="1"/>
      <c r="V6" s="1"/>
      <c r="W6" s="1"/>
      <c r="X6" s="1"/>
      <c r="Y6" s="1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</row>
    <row r="7" spans="2:43" s="6" customFormat="1" ht="50.25" customHeight="1" x14ac:dyDescent="0.25">
      <c r="B7" s="77"/>
      <c r="C7" s="77"/>
      <c r="D7" s="77"/>
      <c r="E7" s="77"/>
      <c r="F7" s="77"/>
      <c r="G7" s="77"/>
      <c r="H7" s="77"/>
      <c r="I7" s="77"/>
      <c r="J7" s="4" t="s">
        <v>13</v>
      </c>
      <c r="K7" s="4" t="s">
        <v>14</v>
      </c>
      <c r="L7" s="4" t="s">
        <v>15</v>
      </c>
      <c r="M7" s="85"/>
      <c r="N7" s="85"/>
      <c r="O7" s="4" t="s">
        <v>13</v>
      </c>
      <c r="P7" s="4" t="s">
        <v>14</v>
      </c>
      <c r="Q7" s="4" t="s">
        <v>16</v>
      </c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</row>
    <row r="8" spans="2:43" ht="20.25" customHeight="1" x14ac:dyDescent="0.25">
      <c r="B8" s="7">
        <v>1</v>
      </c>
      <c r="C8" s="83" t="s">
        <v>17</v>
      </c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4"/>
      <c r="R8" s="8"/>
      <c r="S8" s="8"/>
      <c r="T8" s="8"/>
      <c r="U8" s="8"/>
      <c r="V8" s="8"/>
      <c r="W8" s="8"/>
      <c r="X8" s="8"/>
      <c r="Y8" s="1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</row>
    <row r="9" spans="2:43" ht="20.25" customHeight="1" x14ac:dyDescent="0.25">
      <c r="B9" s="9" t="s">
        <v>18</v>
      </c>
      <c r="C9" s="10" t="s">
        <v>19</v>
      </c>
      <c r="D9" s="78" t="s">
        <v>20</v>
      </c>
      <c r="E9" s="79"/>
      <c r="F9" s="79"/>
      <c r="G9" s="80"/>
      <c r="H9" s="11">
        <f>'[1]Memorial de Cálculo'!I3</f>
        <v>2.88</v>
      </c>
      <c r="I9" s="12" t="s">
        <v>21</v>
      </c>
      <c r="J9" s="13">
        <f>'[1]Composições Próprias'!I15</f>
        <v>144.3621</v>
      </c>
      <c r="K9" s="13">
        <f>'[1]Composições Próprias'!J15</f>
        <v>78.14</v>
      </c>
      <c r="L9" s="14">
        <f t="shared" ref="L9:L12" si="0">J9+K9</f>
        <v>222.50209999999998</v>
      </c>
      <c r="M9" s="15">
        <f t="shared" ref="M9:M12" si="1">ROUND(L9*H9,2)</f>
        <v>640.80999999999995</v>
      </c>
      <c r="N9" s="16">
        <v>0.23380000000000001</v>
      </c>
      <c r="O9" s="15">
        <f t="shared" ref="O9:O12" si="2">ROUND((1+N9)*H9*J9,2)</f>
        <v>512.97</v>
      </c>
      <c r="P9" s="15">
        <f t="shared" ref="P9:P12" si="3">ROUND((1+N9)*H9*K9,2)</f>
        <v>277.66000000000003</v>
      </c>
      <c r="Q9" s="15">
        <f>ROUND(O9+P9,2)</f>
        <v>790.63</v>
      </c>
      <c r="R9" s="8"/>
      <c r="S9" s="8"/>
      <c r="T9" s="8"/>
      <c r="U9" s="8"/>
      <c r="V9" s="8"/>
      <c r="W9" s="8"/>
      <c r="X9" s="8"/>
      <c r="Y9" s="1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</row>
    <row r="10" spans="2:43" ht="20.25" customHeight="1" x14ac:dyDescent="0.25">
      <c r="B10" s="9" t="s">
        <v>22</v>
      </c>
      <c r="C10" s="10" t="s">
        <v>23</v>
      </c>
      <c r="D10" s="78" t="s">
        <v>24</v>
      </c>
      <c r="E10" s="79"/>
      <c r="F10" s="79"/>
      <c r="G10" s="80"/>
      <c r="H10" s="11">
        <f>'[1]Memorial de Cálculo'!I4</f>
        <v>3</v>
      </c>
      <c r="I10" s="12" t="s">
        <v>25</v>
      </c>
      <c r="J10" s="13">
        <f>'[1]Composições Próprias'!I25</f>
        <v>4.1744000000000003</v>
      </c>
      <c r="K10" s="13">
        <f>'[1]Composições Próprias'!J25</f>
        <v>929.42</v>
      </c>
      <c r="L10" s="14">
        <f t="shared" si="0"/>
        <v>933.59439999999995</v>
      </c>
      <c r="M10" s="15">
        <f t="shared" si="1"/>
        <v>2800.78</v>
      </c>
      <c r="N10" s="16">
        <v>0.23380000000000001</v>
      </c>
      <c r="O10" s="15">
        <f t="shared" si="2"/>
        <v>15.45</v>
      </c>
      <c r="P10" s="15">
        <f t="shared" si="3"/>
        <v>3440.16</v>
      </c>
      <c r="Q10" s="15">
        <f>ROUND(O10+P10,2)</f>
        <v>3455.61</v>
      </c>
      <c r="R10" s="17"/>
      <c r="S10" s="8"/>
      <c r="T10" s="8"/>
      <c r="U10" s="8"/>
      <c r="V10" s="8">
        <v>59.97</v>
      </c>
      <c r="W10" s="8"/>
      <c r="X10" s="8"/>
      <c r="Y10" s="1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</row>
    <row r="11" spans="2:43" ht="20.25" customHeight="1" x14ac:dyDescent="0.25">
      <c r="B11" s="9" t="s">
        <v>26</v>
      </c>
      <c r="C11" s="10" t="s">
        <v>27</v>
      </c>
      <c r="D11" s="78" t="s">
        <v>28</v>
      </c>
      <c r="E11" s="79"/>
      <c r="F11" s="79"/>
      <c r="G11" s="80"/>
      <c r="H11" s="11">
        <f>'[1]Memorial de Cálculo'!I5</f>
        <v>3</v>
      </c>
      <c r="I11" s="12" t="s">
        <v>25</v>
      </c>
      <c r="J11" s="13">
        <f>'[1]Composições Próprias'!K56</f>
        <v>1532.9066666666668</v>
      </c>
      <c r="K11" s="13">
        <f>'[1]Composições Próprias'!K57</f>
        <v>383.22666666666669</v>
      </c>
      <c r="L11" s="14">
        <f t="shared" si="0"/>
        <v>1916.1333333333334</v>
      </c>
      <c r="M11" s="15">
        <f t="shared" si="1"/>
        <v>5748.4</v>
      </c>
      <c r="N11" s="16">
        <v>0.23380000000000001</v>
      </c>
      <c r="O11" s="15">
        <f t="shared" si="2"/>
        <v>5673.9</v>
      </c>
      <c r="P11" s="15">
        <f t="shared" si="3"/>
        <v>1418.48</v>
      </c>
      <c r="Q11" s="15">
        <f>ROUND(O11+P11,2)</f>
        <v>7092.38</v>
      </c>
      <c r="R11" s="8"/>
      <c r="S11" s="8"/>
      <c r="T11" s="8"/>
      <c r="U11" s="8"/>
      <c r="V11" s="8">
        <v>23.94</v>
      </c>
      <c r="W11" s="8"/>
      <c r="X11" s="8"/>
      <c r="Y11" s="1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</row>
    <row r="12" spans="2:43" ht="20.25" customHeight="1" x14ac:dyDescent="0.25">
      <c r="B12" s="9" t="s">
        <v>29</v>
      </c>
      <c r="C12" s="10">
        <v>99064</v>
      </c>
      <c r="D12" s="78" t="s">
        <v>30</v>
      </c>
      <c r="E12" s="79"/>
      <c r="F12" s="79"/>
      <c r="G12" s="80"/>
      <c r="H12" s="11">
        <f>'[1]Memorial de Cálculo'!I6</f>
        <v>713</v>
      </c>
      <c r="I12" s="12" t="s">
        <v>31</v>
      </c>
      <c r="J12" s="13">
        <f>0.04+0.01</f>
        <v>0.05</v>
      </c>
      <c r="K12" s="13">
        <v>0.46</v>
      </c>
      <c r="L12" s="14">
        <f t="shared" si="0"/>
        <v>0.51</v>
      </c>
      <c r="M12" s="15">
        <f t="shared" si="1"/>
        <v>363.63</v>
      </c>
      <c r="N12" s="16">
        <v>0.23380000000000001</v>
      </c>
      <c r="O12" s="15">
        <f t="shared" si="2"/>
        <v>43.98</v>
      </c>
      <c r="P12" s="15">
        <f t="shared" si="3"/>
        <v>404.66</v>
      </c>
      <c r="Q12" s="15">
        <f>ROUND(O12+P12,2)</f>
        <v>448.64</v>
      </c>
      <c r="R12" s="18">
        <f>SUM(Q9:Q12)</f>
        <v>11787.259999999998</v>
      </c>
      <c r="S12" s="8"/>
      <c r="T12" s="8"/>
      <c r="U12" s="8"/>
      <c r="V12" s="8">
        <v>35.4</v>
      </c>
      <c r="W12" s="8"/>
      <c r="X12" s="8"/>
      <c r="Y12" s="1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</row>
    <row r="13" spans="2:43" ht="20.25" customHeight="1" x14ac:dyDescent="0.25">
      <c r="B13" s="81" t="s">
        <v>32</v>
      </c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19">
        <f>SUM(O9:O12)</f>
        <v>6246.2999999999993</v>
      </c>
      <c r="P13" s="19">
        <f>SUM(P9:P12)</f>
        <v>5540.9599999999991</v>
      </c>
      <c r="Q13" s="19">
        <f>SUM(Q9:Q12)</f>
        <v>11787.259999999998</v>
      </c>
      <c r="R13" s="18"/>
      <c r="S13" s="8"/>
      <c r="T13" s="8"/>
      <c r="U13" s="8"/>
      <c r="V13" s="8">
        <v>61.72</v>
      </c>
      <c r="W13" s="8"/>
      <c r="X13" s="8"/>
      <c r="Y13" s="1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</row>
    <row r="14" spans="2:43" ht="20.25" customHeight="1" x14ac:dyDescent="0.25">
      <c r="B14" s="7">
        <v>2</v>
      </c>
      <c r="C14" s="83" t="s">
        <v>33</v>
      </c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4"/>
      <c r="R14" s="8"/>
      <c r="S14" s="8"/>
      <c r="T14" s="8"/>
      <c r="U14" s="8"/>
      <c r="V14" s="8">
        <v>60.01</v>
      </c>
      <c r="W14" s="8"/>
      <c r="X14" s="8"/>
      <c r="Y14" s="1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</row>
    <row r="15" spans="2:43" ht="36.75" customHeight="1" x14ac:dyDescent="0.25">
      <c r="B15" s="9" t="s">
        <v>34</v>
      </c>
      <c r="C15" s="10">
        <v>101230</v>
      </c>
      <c r="D15" s="78" t="s">
        <v>35</v>
      </c>
      <c r="E15" s="79"/>
      <c r="F15" s="79"/>
      <c r="G15" s="80"/>
      <c r="H15" s="11">
        <f>'[1]Memorial de Cálculo'!I8</f>
        <v>521.45000000000005</v>
      </c>
      <c r="I15" s="12" t="s">
        <v>36</v>
      </c>
      <c r="J15" s="13">
        <v>7.19</v>
      </c>
      <c r="K15" s="13">
        <v>1.1200000000000001</v>
      </c>
      <c r="L15" s="14">
        <f t="shared" ref="L15:L17" si="4">J15+K15</f>
        <v>8.31</v>
      </c>
      <c r="M15" s="15">
        <f t="shared" ref="M15:M17" si="5">ROUND(L15*H15,2)</f>
        <v>4333.25</v>
      </c>
      <c r="N15" s="16">
        <v>0.23380000000000001</v>
      </c>
      <c r="O15" s="15">
        <f t="shared" ref="O15:O17" si="6">ROUND((1+N15)*H15*J15,2)</f>
        <v>4625.79</v>
      </c>
      <c r="P15" s="15">
        <f t="shared" ref="P15:P17" si="7">ROUND((1+N15)*H15*K15,2)</f>
        <v>720.57</v>
      </c>
      <c r="Q15" s="15">
        <f>ROUND(O15+P15,2)</f>
        <v>5346.36</v>
      </c>
      <c r="R15" s="8"/>
      <c r="S15" s="8"/>
      <c r="T15" s="8"/>
      <c r="U15" s="8"/>
      <c r="V15" s="8">
        <v>60</v>
      </c>
      <c r="W15" s="8"/>
      <c r="X15" s="8"/>
      <c r="Y15" s="1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</row>
    <row r="16" spans="2:43" s="24" customFormat="1" ht="33.75" customHeight="1" x14ac:dyDescent="0.25">
      <c r="B16" s="9" t="s">
        <v>37</v>
      </c>
      <c r="C16" s="10">
        <v>96385</v>
      </c>
      <c r="D16" s="78" t="s">
        <v>38</v>
      </c>
      <c r="E16" s="79"/>
      <c r="F16" s="79"/>
      <c r="G16" s="80"/>
      <c r="H16" s="11">
        <f>'[1]Memorial de Cálculo'!I9</f>
        <v>124.73999999999998</v>
      </c>
      <c r="I16" s="20" t="s">
        <v>36</v>
      </c>
      <c r="J16" s="13">
        <v>5.89</v>
      </c>
      <c r="K16" s="13">
        <v>2.99</v>
      </c>
      <c r="L16" s="14">
        <f t="shared" si="4"/>
        <v>8.879999999999999</v>
      </c>
      <c r="M16" s="15">
        <f t="shared" si="5"/>
        <v>1107.69</v>
      </c>
      <c r="N16" s="16">
        <v>0.23380000000000001</v>
      </c>
      <c r="O16" s="15">
        <f t="shared" si="6"/>
        <v>906.5</v>
      </c>
      <c r="P16" s="15">
        <f t="shared" si="7"/>
        <v>460.17</v>
      </c>
      <c r="Q16" s="15">
        <f t="shared" ref="Q16" si="8">ROUND(O16+P16,2)</f>
        <v>1366.67</v>
      </c>
      <c r="R16" s="21"/>
      <c r="S16" s="21"/>
      <c r="T16" s="21"/>
      <c r="U16" s="21"/>
      <c r="V16" s="21"/>
      <c r="W16" s="21"/>
      <c r="X16" s="21"/>
      <c r="Y16" s="22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</row>
    <row r="17" spans="2:43" s="24" customFormat="1" ht="20.25" customHeight="1" x14ac:dyDescent="0.25">
      <c r="B17" s="9" t="s">
        <v>39</v>
      </c>
      <c r="C17" s="10">
        <v>100576</v>
      </c>
      <c r="D17" s="78" t="s">
        <v>40</v>
      </c>
      <c r="E17" s="79"/>
      <c r="F17" s="79"/>
      <c r="G17" s="80"/>
      <c r="H17" s="11">
        <f>'[1]Memorial de Cálculo'!I10</f>
        <v>5775.3</v>
      </c>
      <c r="I17" s="12" t="s">
        <v>21</v>
      </c>
      <c r="J17" s="13">
        <v>1.1599999999999999</v>
      </c>
      <c r="K17" s="13">
        <v>0.76</v>
      </c>
      <c r="L17" s="14">
        <f t="shared" si="4"/>
        <v>1.92</v>
      </c>
      <c r="M17" s="15">
        <f t="shared" si="5"/>
        <v>11088.58</v>
      </c>
      <c r="N17" s="16">
        <v>0.23380000000000001</v>
      </c>
      <c r="O17" s="15">
        <f t="shared" si="6"/>
        <v>8265.66</v>
      </c>
      <c r="P17" s="15">
        <f t="shared" si="7"/>
        <v>5415.43</v>
      </c>
      <c r="Q17" s="15">
        <f>ROUND(O17+P17,2)</f>
        <v>13681.09</v>
      </c>
      <c r="R17" s="25">
        <f>SUM(Q15:Q17)</f>
        <v>20394.12</v>
      </c>
      <c r="S17" s="21"/>
      <c r="T17" s="21"/>
      <c r="U17" s="21"/>
      <c r="V17" s="21">
        <v>24.9</v>
      </c>
      <c r="W17" s="21"/>
      <c r="X17" s="21"/>
      <c r="Y17" s="22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</row>
    <row r="18" spans="2:43" ht="20.25" customHeight="1" x14ac:dyDescent="0.25">
      <c r="B18" s="81" t="s">
        <v>41</v>
      </c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19">
        <f>SUM(O15:O17)</f>
        <v>13797.95</v>
      </c>
      <c r="P18" s="19">
        <f>SUM(P15:P17)</f>
        <v>6596.17</v>
      </c>
      <c r="Q18" s="19">
        <f>SUM(Q15:Q17)</f>
        <v>20394.12</v>
      </c>
      <c r="R18" s="18"/>
      <c r="S18" s="18"/>
      <c r="T18" s="8"/>
      <c r="U18" s="8"/>
      <c r="V18" s="8">
        <v>72.8</v>
      </c>
      <c r="W18" s="8"/>
      <c r="X18" s="8"/>
      <c r="Y18" s="1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</row>
    <row r="19" spans="2:43" ht="20.25" customHeight="1" x14ac:dyDescent="0.25">
      <c r="B19" s="7">
        <v>3</v>
      </c>
      <c r="C19" s="83" t="s">
        <v>42</v>
      </c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4"/>
      <c r="R19" s="8"/>
      <c r="S19" s="18"/>
      <c r="T19" s="8"/>
      <c r="U19" s="8"/>
      <c r="V19" s="8">
        <f>SUM(V10:V18)</f>
        <v>398.73999999999995</v>
      </c>
      <c r="W19" s="8"/>
      <c r="X19" s="8"/>
      <c r="Y19" s="1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</row>
    <row r="20" spans="2:43" s="24" customFormat="1" ht="20.25" customHeight="1" x14ac:dyDescent="0.25">
      <c r="B20" s="9" t="s">
        <v>43</v>
      </c>
      <c r="C20" s="10">
        <v>90091</v>
      </c>
      <c r="D20" s="78" t="s">
        <v>44</v>
      </c>
      <c r="E20" s="79"/>
      <c r="F20" s="79"/>
      <c r="G20" s="80"/>
      <c r="H20" s="11">
        <f>'[1]Memorial de Cálculo'!I12</f>
        <v>713</v>
      </c>
      <c r="I20" s="12" t="s">
        <v>36</v>
      </c>
      <c r="J20" s="13">
        <v>3.72</v>
      </c>
      <c r="K20" s="13">
        <v>1.38</v>
      </c>
      <c r="L20" s="14">
        <f t="shared" ref="L20" si="9">J20+K20</f>
        <v>5.0999999999999996</v>
      </c>
      <c r="M20" s="15">
        <f t="shared" ref="M20" si="10">ROUND(L20*H20,2)</f>
        <v>3636.3</v>
      </c>
      <c r="N20" s="16">
        <v>0.23380000000000001</v>
      </c>
      <c r="O20" s="15">
        <f t="shared" ref="O20" si="11">ROUND((1+N20)*H20*J20,2)</f>
        <v>3272.48</v>
      </c>
      <c r="P20" s="15">
        <f t="shared" ref="P20" si="12">ROUND((1+N20)*H20*K20,2)</f>
        <v>1213.99</v>
      </c>
      <c r="Q20" s="15">
        <f>ROUND(O20+P20,2)</f>
        <v>4486.47</v>
      </c>
      <c r="R20" s="21"/>
      <c r="S20" s="21"/>
      <c r="T20" s="21"/>
      <c r="U20" s="21"/>
      <c r="V20" s="21">
        <v>60</v>
      </c>
      <c r="W20" s="21"/>
      <c r="X20" s="21"/>
      <c r="Y20" s="22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</row>
    <row r="21" spans="2:43" s="24" customFormat="1" ht="30.75" customHeight="1" x14ac:dyDescent="0.25">
      <c r="B21" s="9" t="s">
        <v>45</v>
      </c>
      <c r="C21" s="10">
        <v>95875</v>
      </c>
      <c r="D21" s="78" t="s">
        <v>46</v>
      </c>
      <c r="E21" s="79"/>
      <c r="F21" s="79"/>
      <c r="G21" s="80"/>
      <c r="H21" s="11">
        <f>'[1]Memorial de Cálculo'!I13</f>
        <v>998.19999999999993</v>
      </c>
      <c r="I21" s="12" t="s">
        <v>47</v>
      </c>
      <c r="J21" s="13">
        <v>1.53</v>
      </c>
      <c r="K21" s="13">
        <v>0.22</v>
      </c>
      <c r="L21" s="14">
        <f>J21+K21</f>
        <v>1.75</v>
      </c>
      <c r="M21" s="15">
        <f>ROUND(L21*H21,2)</f>
        <v>1746.85</v>
      </c>
      <c r="N21" s="16">
        <v>0.23380000000000001</v>
      </c>
      <c r="O21" s="15">
        <f>ROUND((1+N21)*H21*J21,2)</f>
        <v>1884.32</v>
      </c>
      <c r="P21" s="15">
        <f>ROUND((1+N21)*H21*K21,2)</f>
        <v>270.95</v>
      </c>
      <c r="Q21" s="15">
        <f t="shared" ref="Q21" si="13">ROUND(O21+P21,2)</f>
        <v>2155.27</v>
      </c>
      <c r="R21" s="21"/>
      <c r="S21" s="21"/>
      <c r="T21" s="21"/>
      <c r="U21" s="21"/>
      <c r="V21" s="21"/>
      <c r="W21" s="21"/>
      <c r="X21" s="21"/>
      <c r="Y21" s="22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</row>
    <row r="22" spans="2:43" s="24" customFormat="1" ht="24.75" customHeight="1" x14ac:dyDescent="0.25">
      <c r="B22" s="9" t="s">
        <v>48</v>
      </c>
      <c r="C22" s="10">
        <v>90091</v>
      </c>
      <c r="D22" s="78" t="s">
        <v>44</v>
      </c>
      <c r="E22" s="79"/>
      <c r="F22" s="79"/>
      <c r="G22" s="80"/>
      <c r="H22" s="11">
        <f>'[1]Memorial de Cálculo'!I14</f>
        <v>210</v>
      </c>
      <c r="I22" s="12" t="s">
        <v>36</v>
      </c>
      <c r="J22" s="13">
        <v>3.72</v>
      </c>
      <c r="K22" s="13">
        <v>1.38</v>
      </c>
      <c r="L22" s="14">
        <f t="shared" ref="L22:L26" si="14">J22+K22</f>
        <v>5.0999999999999996</v>
      </c>
      <c r="M22" s="15">
        <f t="shared" ref="M22:M26" si="15">ROUND(L22*H22,2)</f>
        <v>1071</v>
      </c>
      <c r="N22" s="16">
        <v>0.23380000000000001</v>
      </c>
      <c r="O22" s="15">
        <f t="shared" ref="O22:O26" si="16">ROUND((1+N22)*H22*J22,2)</f>
        <v>963.84</v>
      </c>
      <c r="P22" s="15">
        <f t="shared" ref="P22:P26" si="17">ROUND((1+N22)*H22*K22,2)</f>
        <v>357.56</v>
      </c>
      <c r="Q22" s="15">
        <f>ROUND(O22+P22,2)</f>
        <v>1321.4</v>
      </c>
      <c r="R22" s="21"/>
      <c r="S22" s="21"/>
      <c r="T22" s="21"/>
      <c r="U22" s="21"/>
      <c r="V22" s="21">
        <v>60</v>
      </c>
      <c r="W22" s="21"/>
      <c r="X22" s="21"/>
      <c r="Y22" s="22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</row>
    <row r="23" spans="2:43" s="24" customFormat="1" ht="33.75" customHeight="1" x14ac:dyDescent="0.25">
      <c r="B23" s="9" t="s">
        <v>49</v>
      </c>
      <c r="C23" s="10">
        <v>101619</v>
      </c>
      <c r="D23" s="78" t="s">
        <v>50</v>
      </c>
      <c r="E23" s="79"/>
      <c r="F23" s="79"/>
      <c r="G23" s="80"/>
      <c r="H23" s="11">
        <f>'[1]Memorial de Cálculo'!I15</f>
        <v>7</v>
      </c>
      <c r="I23" s="20" t="s">
        <v>36</v>
      </c>
      <c r="J23" s="13">
        <v>97.85</v>
      </c>
      <c r="K23" s="13">
        <v>96.4</v>
      </c>
      <c r="L23" s="14">
        <f t="shared" si="14"/>
        <v>194.25</v>
      </c>
      <c r="M23" s="15">
        <f t="shared" si="15"/>
        <v>1359.75</v>
      </c>
      <c r="N23" s="16">
        <v>0.23380000000000001</v>
      </c>
      <c r="O23" s="15">
        <f t="shared" si="16"/>
        <v>845.09</v>
      </c>
      <c r="P23" s="15">
        <f t="shared" si="17"/>
        <v>832.57</v>
      </c>
      <c r="Q23" s="15">
        <f>ROUND(O23+P23,2)</f>
        <v>1677.66</v>
      </c>
      <c r="R23" s="21"/>
      <c r="S23" s="21"/>
      <c r="T23" s="21"/>
      <c r="U23" s="21"/>
      <c r="V23" s="21">
        <f>0.45*0.45*V19</f>
        <v>80.74485</v>
      </c>
      <c r="W23" s="21" t="s">
        <v>51</v>
      </c>
      <c r="X23" s="21"/>
      <c r="Y23" s="22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</row>
    <row r="24" spans="2:43" s="24" customFormat="1" ht="33.75" customHeight="1" x14ac:dyDescent="0.25">
      <c r="B24" s="9" t="s">
        <v>52</v>
      </c>
      <c r="C24" s="10">
        <v>7785</v>
      </c>
      <c r="D24" s="78" t="s">
        <v>53</v>
      </c>
      <c r="E24" s="79"/>
      <c r="F24" s="79"/>
      <c r="G24" s="80"/>
      <c r="H24" s="11">
        <f>'[1]Memorial de Cálculo'!I16</f>
        <v>140</v>
      </c>
      <c r="I24" s="20" t="s">
        <v>31</v>
      </c>
      <c r="J24" s="13">
        <v>51.89</v>
      </c>
      <c r="K24" s="13">
        <v>0</v>
      </c>
      <c r="L24" s="14">
        <f t="shared" si="14"/>
        <v>51.89</v>
      </c>
      <c r="M24" s="15">
        <f t="shared" si="15"/>
        <v>7264.6</v>
      </c>
      <c r="N24" s="16">
        <v>0.23380000000000001</v>
      </c>
      <c r="O24" s="15">
        <f t="shared" si="16"/>
        <v>8963.06</v>
      </c>
      <c r="P24" s="15">
        <f t="shared" si="17"/>
        <v>0</v>
      </c>
      <c r="Q24" s="15">
        <f t="shared" ref="Q24:Q27" si="18">ROUND(O24+P24,2)</f>
        <v>8963.06</v>
      </c>
      <c r="R24" s="21"/>
      <c r="S24" s="21"/>
      <c r="T24" s="21"/>
      <c r="U24" s="21"/>
      <c r="V24" s="21">
        <f>0.45*1*V19</f>
        <v>179.43299999999999</v>
      </c>
      <c r="W24" s="21"/>
      <c r="X24" s="21"/>
      <c r="Y24" s="22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</row>
    <row r="25" spans="2:43" s="24" customFormat="1" ht="28.5" customHeight="1" x14ac:dyDescent="0.25">
      <c r="B25" s="9" t="s">
        <v>54</v>
      </c>
      <c r="C25" s="10">
        <v>92809</v>
      </c>
      <c r="D25" s="78" t="s">
        <v>55</v>
      </c>
      <c r="E25" s="79"/>
      <c r="F25" s="79"/>
      <c r="G25" s="80"/>
      <c r="H25" s="11">
        <f>'[1]Memorial de Cálculo'!I17</f>
        <v>140</v>
      </c>
      <c r="I25" s="12" t="s">
        <v>31</v>
      </c>
      <c r="J25" s="13">
        <v>23.95</v>
      </c>
      <c r="K25" s="13">
        <v>22.53</v>
      </c>
      <c r="L25" s="14">
        <f t="shared" si="14"/>
        <v>46.480000000000004</v>
      </c>
      <c r="M25" s="15">
        <f t="shared" si="15"/>
        <v>6507.2</v>
      </c>
      <c r="N25" s="16">
        <v>0.23380000000000001</v>
      </c>
      <c r="O25" s="15">
        <f t="shared" si="16"/>
        <v>4136.93</v>
      </c>
      <c r="P25" s="15">
        <f t="shared" si="17"/>
        <v>3891.65</v>
      </c>
      <c r="Q25" s="15">
        <f t="shared" si="18"/>
        <v>8028.58</v>
      </c>
      <c r="R25" s="26"/>
      <c r="S25" s="21"/>
      <c r="T25" s="21"/>
      <c r="U25" s="21"/>
      <c r="V25" s="21">
        <f>(3.14*0.2^2)*V19</f>
        <v>50.081744</v>
      </c>
      <c r="W25" s="21"/>
      <c r="X25" s="21"/>
      <c r="Y25" s="22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</row>
    <row r="26" spans="2:43" s="24" customFormat="1" ht="28.5" customHeight="1" x14ac:dyDescent="0.25">
      <c r="B26" s="9" t="s">
        <v>56</v>
      </c>
      <c r="C26" s="27">
        <v>93379</v>
      </c>
      <c r="D26" s="78" t="s">
        <v>57</v>
      </c>
      <c r="E26" s="79"/>
      <c r="F26" s="79"/>
      <c r="G26" s="80"/>
      <c r="H26" s="11">
        <f>'[1]Memorial de Cálculo'!I18</f>
        <v>192.40708113989714</v>
      </c>
      <c r="I26" s="20" t="s">
        <v>36</v>
      </c>
      <c r="J26" s="14">
        <v>7.69</v>
      </c>
      <c r="K26" s="14">
        <v>8.69</v>
      </c>
      <c r="L26" s="14">
        <f t="shared" si="14"/>
        <v>16.38</v>
      </c>
      <c r="M26" s="15">
        <f t="shared" si="15"/>
        <v>3151.63</v>
      </c>
      <c r="N26" s="16">
        <v>0.23380000000000001</v>
      </c>
      <c r="O26" s="15">
        <f t="shared" si="16"/>
        <v>1825.54</v>
      </c>
      <c r="P26" s="15">
        <f t="shared" si="17"/>
        <v>2062.94</v>
      </c>
      <c r="Q26" s="15">
        <f t="shared" si="18"/>
        <v>3888.48</v>
      </c>
      <c r="R26" s="26"/>
      <c r="S26" s="21"/>
      <c r="T26" s="21"/>
      <c r="U26" s="21"/>
      <c r="V26" s="21"/>
      <c r="W26" s="21"/>
      <c r="X26" s="21"/>
      <c r="Y26" s="22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</row>
    <row r="27" spans="2:43" ht="28.5" customHeight="1" x14ac:dyDescent="0.25">
      <c r="B27" s="9" t="s">
        <v>58</v>
      </c>
      <c r="C27" s="27">
        <v>95875</v>
      </c>
      <c r="D27" s="78" t="s">
        <v>59</v>
      </c>
      <c r="E27" s="79"/>
      <c r="F27" s="79"/>
      <c r="G27" s="80"/>
      <c r="H27" s="11">
        <f>'[1]Memorial de Cálculo'!I19</f>
        <v>17.592918860102856</v>
      </c>
      <c r="I27" s="20" t="s">
        <v>47</v>
      </c>
      <c r="J27" s="14">
        <v>1.53</v>
      </c>
      <c r="K27" s="14">
        <v>0.22</v>
      </c>
      <c r="L27" s="14">
        <f>J27+K27</f>
        <v>1.75</v>
      </c>
      <c r="M27" s="15">
        <f>ROUND(L27*H27,2)</f>
        <v>30.79</v>
      </c>
      <c r="N27" s="16">
        <v>0.23380000000000001</v>
      </c>
      <c r="O27" s="15">
        <f>ROUND((1+N27)*H27*J27,2)</f>
        <v>33.21</v>
      </c>
      <c r="P27" s="15">
        <f>ROUND((1+N27)*H27*K27,2)</f>
        <v>4.78</v>
      </c>
      <c r="Q27" s="15">
        <f t="shared" si="18"/>
        <v>37.99</v>
      </c>
      <c r="R27" s="28">
        <f>SUM(Q20:Q27)</f>
        <v>30558.910000000003</v>
      </c>
      <c r="S27" s="8"/>
      <c r="T27" s="8"/>
      <c r="U27" s="8"/>
      <c r="V27" s="8"/>
      <c r="W27" s="8"/>
      <c r="X27" s="8"/>
      <c r="Y27" s="1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</row>
    <row r="28" spans="2:43" ht="20.25" customHeight="1" x14ac:dyDescent="0.25">
      <c r="B28" s="81" t="s">
        <v>60</v>
      </c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19">
        <f>SUM(O20:O27)</f>
        <v>21924.47</v>
      </c>
      <c r="P28" s="19">
        <f>SUM(P20:P27)</f>
        <v>8634.44</v>
      </c>
      <c r="Q28" s="19">
        <f>SUM(Q20:Q27)</f>
        <v>30558.910000000003</v>
      </c>
      <c r="R28" s="18"/>
      <c r="S28" s="8"/>
      <c r="T28" s="8"/>
      <c r="U28" s="8"/>
      <c r="V28" s="8"/>
      <c r="W28" s="8"/>
      <c r="X28" s="8"/>
      <c r="Y28" s="1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</row>
    <row r="29" spans="2:43" ht="20.25" customHeight="1" x14ac:dyDescent="0.25">
      <c r="B29" s="7">
        <v>4</v>
      </c>
      <c r="C29" s="83" t="s">
        <v>61</v>
      </c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4"/>
      <c r="R29" s="8"/>
      <c r="S29" s="8"/>
      <c r="T29" s="8"/>
      <c r="U29" s="8"/>
      <c r="V29" s="8"/>
      <c r="W29" s="8"/>
      <c r="X29" s="8"/>
      <c r="Y29" s="1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</row>
    <row r="30" spans="2:43" s="24" customFormat="1" ht="33.75" customHeight="1" x14ac:dyDescent="0.25">
      <c r="B30" s="9" t="s">
        <v>62</v>
      </c>
      <c r="C30" s="27">
        <v>96400</v>
      </c>
      <c r="D30" s="78" t="s">
        <v>63</v>
      </c>
      <c r="E30" s="79"/>
      <c r="F30" s="79"/>
      <c r="G30" s="80"/>
      <c r="H30" s="11">
        <f>'[1]Memorial de Cálculo'!I21</f>
        <v>841.33999999999992</v>
      </c>
      <c r="I30" s="20" t="s">
        <v>36</v>
      </c>
      <c r="J30" s="14">
        <v>85.39</v>
      </c>
      <c r="K30" s="14">
        <v>5.24</v>
      </c>
      <c r="L30" s="14">
        <f t="shared" ref="L30:L42" si="19">J30+K30</f>
        <v>90.63</v>
      </c>
      <c r="M30" s="15">
        <f t="shared" ref="M30:M42" si="20">ROUND(L30*H30,2)</f>
        <v>76250.64</v>
      </c>
      <c r="N30" s="16">
        <v>0.23380000000000001</v>
      </c>
      <c r="O30" s="15">
        <f t="shared" ref="O30:O42" si="21">ROUND((1+N30)*H30*J30,2)</f>
        <v>88638.69</v>
      </c>
      <c r="P30" s="15">
        <f t="shared" ref="P30:P42" si="22">ROUND((1+N30)*H30*K30,2)</f>
        <v>5439.36</v>
      </c>
      <c r="Q30" s="15">
        <f>ROUND(O30+P30,2)</f>
        <v>94078.05</v>
      </c>
      <c r="R30" s="21"/>
      <c r="S30" s="25"/>
      <c r="T30" s="21"/>
      <c r="U30" s="21"/>
      <c r="V30" s="21"/>
      <c r="W30" s="21"/>
      <c r="X30" s="21"/>
      <c r="Y30" s="22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</row>
    <row r="31" spans="2:43" s="24" customFormat="1" ht="26.25" customHeight="1" x14ac:dyDescent="0.25">
      <c r="B31" s="9" t="s">
        <v>64</v>
      </c>
      <c r="C31" s="27">
        <v>96396</v>
      </c>
      <c r="D31" s="78" t="s">
        <v>65</v>
      </c>
      <c r="E31" s="79"/>
      <c r="F31" s="79"/>
      <c r="G31" s="80"/>
      <c r="H31" s="11">
        <f>'[1]Memorial de Cálculo'!I22</f>
        <v>791.43000000000006</v>
      </c>
      <c r="I31" s="20" t="s">
        <v>36</v>
      </c>
      <c r="J31" s="14">
        <v>95.24</v>
      </c>
      <c r="K31" s="14">
        <v>4.28</v>
      </c>
      <c r="L31" s="14">
        <f t="shared" si="19"/>
        <v>99.52</v>
      </c>
      <c r="M31" s="15">
        <f t="shared" si="20"/>
        <v>78763.11</v>
      </c>
      <c r="N31" s="16">
        <v>0.23380000000000001</v>
      </c>
      <c r="O31" s="15">
        <f t="shared" si="21"/>
        <v>92998.65</v>
      </c>
      <c r="P31" s="15">
        <f t="shared" si="22"/>
        <v>4179.28</v>
      </c>
      <c r="Q31" s="15">
        <f t="shared" ref="Q31:Q38" si="23">ROUND(O31+P31,2)</f>
        <v>97177.93</v>
      </c>
      <c r="R31" s="21"/>
      <c r="S31" s="21"/>
      <c r="T31" s="21"/>
      <c r="U31" s="21"/>
      <c r="V31" s="21"/>
      <c r="W31" s="21"/>
      <c r="X31" s="21"/>
      <c r="Y31" s="22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</row>
    <row r="32" spans="2:43" s="24" customFormat="1" ht="29.25" customHeight="1" x14ac:dyDescent="0.25">
      <c r="B32" s="9" t="s">
        <v>66</v>
      </c>
      <c r="C32" s="27">
        <v>95875</v>
      </c>
      <c r="D32" s="78" t="s">
        <v>67</v>
      </c>
      <c r="E32" s="79"/>
      <c r="F32" s="79"/>
      <c r="G32" s="80"/>
      <c r="H32" s="11">
        <f>'[1]Memorial de Cálculo'!I23</f>
        <v>68576.34</v>
      </c>
      <c r="I32" s="20" t="s">
        <v>47</v>
      </c>
      <c r="J32" s="14">
        <v>1.53</v>
      </c>
      <c r="K32" s="14">
        <v>0.22</v>
      </c>
      <c r="L32" s="14">
        <f t="shared" si="19"/>
        <v>1.75</v>
      </c>
      <c r="M32" s="15">
        <f t="shared" si="20"/>
        <v>120008.6</v>
      </c>
      <c r="N32" s="16">
        <v>0.23380000000000001</v>
      </c>
      <c r="O32" s="15">
        <f t="shared" si="21"/>
        <v>129452.52</v>
      </c>
      <c r="P32" s="15">
        <f t="shared" si="22"/>
        <v>18614.09</v>
      </c>
      <c r="Q32" s="15">
        <f t="shared" si="23"/>
        <v>148066.60999999999</v>
      </c>
      <c r="R32" s="21"/>
      <c r="S32" s="21"/>
      <c r="T32" s="21"/>
      <c r="U32" s="21"/>
      <c r="V32" s="21"/>
      <c r="W32" s="21"/>
      <c r="X32" s="21"/>
      <c r="Y32" s="22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</row>
    <row r="33" spans="2:43" s="24" customFormat="1" ht="20.25" customHeight="1" x14ac:dyDescent="0.25">
      <c r="B33" s="9" t="s">
        <v>68</v>
      </c>
      <c r="C33" s="27">
        <v>100977</v>
      </c>
      <c r="D33" s="78" t="s">
        <v>69</v>
      </c>
      <c r="E33" s="79"/>
      <c r="F33" s="79"/>
      <c r="G33" s="80"/>
      <c r="H33" s="11">
        <f>'[1]Memorial de Cálculo'!I24</f>
        <v>2285.8779999999997</v>
      </c>
      <c r="I33" s="20" t="s">
        <v>36</v>
      </c>
      <c r="J33" s="14">
        <v>4.5999999999999996</v>
      </c>
      <c r="K33" s="14">
        <v>1.19</v>
      </c>
      <c r="L33" s="14">
        <f t="shared" si="19"/>
        <v>5.7899999999999991</v>
      </c>
      <c r="M33" s="15">
        <f t="shared" si="20"/>
        <v>13235.23</v>
      </c>
      <c r="N33" s="16">
        <v>0.23380000000000001</v>
      </c>
      <c r="O33" s="15">
        <f t="shared" si="21"/>
        <v>12973.45</v>
      </c>
      <c r="P33" s="15">
        <f t="shared" si="22"/>
        <v>3356.18</v>
      </c>
      <c r="Q33" s="15">
        <f t="shared" si="23"/>
        <v>16329.63</v>
      </c>
      <c r="R33" s="21"/>
      <c r="S33" s="21"/>
      <c r="T33" s="21"/>
      <c r="U33" s="21"/>
      <c r="V33" s="21"/>
      <c r="W33" s="21"/>
      <c r="X33" s="21"/>
      <c r="Y33" s="22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</row>
    <row r="34" spans="2:43" s="24" customFormat="1" ht="20.25" customHeight="1" x14ac:dyDescent="0.25">
      <c r="B34" s="9" t="s">
        <v>70</v>
      </c>
      <c r="C34" s="27">
        <v>96401</v>
      </c>
      <c r="D34" s="78" t="s">
        <v>71</v>
      </c>
      <c r="E34" s="79"/>
      <c r="F34" s="79"/>
      <c r="G34" s="80"/>
      <c r="H34" s="11">
        <f>'[1]Memorial de Cálculo'!I25</f>
        <v>5133.6000000000004</v>
      </c>
      <c r="I34" s="20" t="s">
        <v>21</v>
      </c>
      <c r="J34" s="14">
        <f>'[1]Composições Próprias'!I89</f>
        <v>6.9203940000000017</v>
      </c>
      <c r="K34" s="14">
        <f>'[1]Composições Próprias'!J89</f>
        <v>0.22491</v>
      </c>
      <c r="L34" s="14">
        <f t="shared" si="19"/>
        <v>7.1453040000000021</v>
      </c>
      <c r="M34" s="15">
        <f t="shared" si="20"/>
        <v>36681.129999999997</v>
      </c>
      <c r="N34" s="16">
        <v>0.23380000000000001</v>
      </c>
      <c r="O34" s="15">
        <f t="shared" si="21"/>
        <v>43832.639999999999</v>
      </c>
      <c r="P34" s="15">
        <f t="shared" si="22"/>
        <v>1424.54</v>
      </c>
      <c r="Q34" s="15">
        <f t="shared" si="23"/>
        <v>45257.18</v>
      </c>
      <c r="R34" s="21"/>
      <c r="S34" s="21"/>
      <c r="T34" s="21"/>
      <c r="U34" s="21"/>
      <c r="V34" s="21"/>
      <c r="W34" s="21"/>
      <c r="X34" s="21"/>
      <c r="Y34" s="22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</row>
    <row r="35" spans="2:43" s="24" customFormat="1" ht="20.25" customHeight="1" x14ac:dyDescent="0.25">
      <c r="B35" s="9" t="s">
        <v>72</v>
      </c>
      <c r="C35" s="27">
        <v>96402</v>
      </c>
      <c r="D35" s="78" t="s">
        <v>73</v>
      </c>
      <c r="E35" s="79"/>
      <c r="F35" s="79"/>
      <c r="G35" s="80"/>
      <c r="H35" s="11">
        <f>'[1]Memorial de Cálculo'!I26</f>
        <v>5133.6000000000004</v>
      </c>
      <c r="I35" s="20" t="s">
        <v>21</v>
      </c>
      <c r="J35" s="14">
        <v>2.0499999999999998</v>
      </c>
      <c r="K35" s="14">
        <v>0.31</v>
      </c>
      <c r="L35" s="14">
        <f t="shared" si="19"/>
        <v>2.36</v>
      </c>
      <c r="M35" s="15">
        <f t="shared" si="20"/>
        <v>12115.3</v>
      </c>
      <c r="N35" s="16">
        <v>0.23380000000000001</v>
      </c>
      <c r="O35" s="15">
        <f t="shared" si="21"/>
        <v>12984.36</v>
      </c>
      <c r="P35" s="15">
        <f t="shared" si="22"/>
        <v>1963.49</v>
      </c>
      <c r="Q35" s="15">
        <f t="shared" si="23"/>
        <v>14947.85</v>
      </c>
      <c r="R35" s="21"/>
      <c r="S35" s="21"/>
      <c r="T35" s="21"/>
      <c r="U35" s="21"/>
      <c r="V35" s="21"/>
      <c r="W35" s="21"/>
      <c r="X35" s="21"/>
      <c r="Y35" s="22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</row>
    <row r="36" spans="2:43" s="24" customFormat="1" ht="30.75" customHeight="1" x14ac:dyDescent="0.25">
      <c r="B36" s="9" t="s">
        <v>74</v>
      </c>
      <c r="C36" s="27">
        <v>95995</v>
      </c>
      <c r="D36" s="78" t="s">
        <v>75</v>
      </c>
      <c r="E36" s="79"/>
      <c r="F36" s="79"/>
      <c r="G36" s="80"/>
      <c r="H36" s="11">
        <f>'[1]Memorial de Cálculo'!I27</f>
        <v>308.01600000000002</v>
      </c>
      <c r="I36" s="20" t="s">
        <v>36</v>
      </c>
      <c r="J36" s="14">
        <f>'[1]Composições Próprias'!I75</f>
        <v>1130.9933659999999</v>
      </c>
      <c r="K36" s="14">
        <f>'[1]Composições Próprias'!J75</f>
        <v>21.539705999999999</v>
      </c>
      <c r="L36" s="14">
        <f t="shared" si="19"/>
        <v>1152.5330719999999</v>
      </c>
      <c r="M36" s="15">
        <f t="shared" si="20"/>
        <v>354998.63</v>
      </c>
      <c r="N36" s="16">
        <v>0.23380000000000001</v>
      </c>
      <c r="O36" s="15">
        <f t="shared" si="21"/>
        <v>429811.57</v>
      </c>
      <c r="P36" s="15">
        <f t="shared" si="22"/>
        <v>8185.74</v>
      </c>
      <c r="Q36" s="15">
        <f>ROUND(O36+P36,2)</f>
        <v>437997.31</v>
      </c>
      <c r="R36" s="26"/>
      <c r="S36" s="21"/>
      <c r="T36" s="21"/>
      <c r="U36" s="21"/>
      <c r="V36" s="21"/>
      <c r="W36" s="21"/>
      <c r="X36" s="21"/>
      <c r="Y36" s="22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</row>
    <row r="37" spans="2:43" s="24" customFormat="1" ht="20.25" customHeight="1" x14ac:dyDescent="0.25">
      <c r="B37" s="9" t="s">
        <v>76</v>
      </c>
      <c r="C37" s="27">
        <v>95875</v>
      </c>
      <c r="D37" s="78" t="s">
        <v>77</v>
      </c>
      <c r="E37" s="79"/>
      <c r="F37" s="79"/>
      <c r="G37" s="80"/>
      <c r="H37" s="11">
        <f>'[1]Memorial de Cálculo'!I28</f>
        <v>9240.4800000000014</v>
      </c>
      <c r="I37" s="20" t="s">
        <v>47</v>
      </c>
      <c r="J37" s="14">
        <v>1.53</v>
      </c>
      <c r="K37" s="14">
        <v>0.22</v>
      </c>
      <c r="L37" s="14">
        <f t="shared" si="19"/>
        <v>1.75</v>
      </c>
      <c r="M37" s="15">
        <f t="shared" si="20"/>
        <v>16170.84</v>
      </c>
      <c r="N37" s="16">
        <v>0.23380000000000001</v>
      </c>
      <c r="O37" s="15">
        <f t="shared" si="21"/>
        <v>17443.38</v>
      </c>
      <c r="P37" s="15">
        <f t="shared" si="22"/>
        <v>2508.1999999999998</v>
      </c>
      <c r="Q37" s="15">
        <f t="shared" si="23"/>
        <v>19951.580000000002</v>
      </c>
      <c r="R37" s="21"/>
      <c r="S37" s="21"/>
      <c r="T37" s="21"/>
      <c r="U37" s="21"/>
      <c r="V37" s="21"/>
      <c r="W37" s="21"/>
      <c r="X37" s="21"/>
      <c r="Y37" s="22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</row>
    <row r="38" spans="2:43" s="24" customFormat="1" ht="28.5" customHeight="1" x14ac:dyDescent="0.25">
      <c r="B38" s="9" t="s">
        <v>78</v>
      </c>
      <c r="C38" s="10">
        <v>100986</v>
      </c>
      <c r="D38" s="78" t="s">
        <v>79</v>
      </c>
      <c r="E38" s="79"/>
      <c r="F38" s="79"/>
      <c r="G38" s="80"/>
      <c r="H38" s="11">
        <f>'[1]Memorial de Cálculo'!I29</f>
        <v>308.01600000000002</v>
      </c>
      <c r="I38" s="20" t="s">
        <v>36</v>
      </c>
      <c r="J38" s="13">
        <v>5.51</v>
      </c>
      <c r="K38" s="13">
        <v>0.87</v>
      </c>
      <c r="L38" s="14">
        <f t="shared" si="19"/>
        <v>6.38</v>
      </c>
      <c r="M38" s="15">
        <f t="shared" si="20"/>
        <v>1965.14</v>
      </c>
      <c r="N38" s="16">
        <v>0.23380000000000001</v>
      </c>
      <c r="O38" s="15">
        <f t="shared" si="21"/>
        <v>2093.9699999999998</v>
      </c>
      <c r="P38" s="15">
        <f t="shared" si="22"/>
        <v>330.63</v>
      </c>
      <c r="Q38" s="15">
        <f t="shared" si="23"/>
        <v>2424.6</v>
      </c>
      <c r="R38" s="25">
        <f>SUM(Q30:Q38)</f>
        <v>876230.73999999987</v>
      </c>
      <c r="S38" s="21"/>
      <c r="T38" s="21"/>
      <c r="U38" s="21"/>
      <c r="V38" s="21"/>
      <c r="W38" s="21"/>
      <c r="X38" s="21"/>
      <c r="Y38" s="22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</row>
    <row r="39" spans="2:43" ht="21" customHeight="1" x14ac:dyDescent="0.25">
      <c r="B39" s="81" t="s">
        <v>80</v>
      </c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19">
        <f>SUM(O30:O38)</f>
        <v>830229.23</v>
      </c>
      <c r="P39" s="19">
        <f>SUM(P30:P38)</f>
        <v>46001.509999999987</v>
      </c>
      <c r="Q39" s="19">
        <f>SUM(Q30:Q38)</f>
        <v>876230.73999999987</v>
      </c>
      <c r="R39" s="28"/>
      <c r="S39" s="8"/>
      <c r="T39" s="8"/>
      <c r="U39" s="8"/>
      <c r="V39" s="8"/>
      <c r="W39" s="8"/>
      <c r="X39" s="8"/>
      <c r="Y39" s="1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</row>
    <row r="40" spans="2:43" ht="20.25" customHeight="1" x14ac:dyDescent="0.25">
      <c r="B40" s="7">
        <v>5</v>
      </c>
      <c r="C40" s="83" t="s">
        <v>81</v>
      </c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4"/>
      <c r="R40" s="8"/>
      <c r="S40" s="8"/>
      <c r="T40" s="8"/>
      <c r="U40" s="8"/>
      <c r="V40" s="8"/>
      <c r="W40" s="8"/>
      <c r="X40" s="8"/>
      <c r="Y40" s="1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</row>
    <row r="41" spans="2:43" s="24" customFormat="1" ht="20.25" customHeight="1" x14ac:dyDescent="0.25">
      <c r="B41" s="9" t="s">
        <v>82</v>
      </c>
      <c r="C41" s="27" t="s">
        <v>83</v>
      </c>
      <c r="D41" s="78" t="s">
        <v>84</v>
      </c>
      <c r="E41" s="79"/>
      <c r="F41" s="79"/>
      <c r="G41" s="80"/>
      <c r="H41" s="11">
        <f>'[1]Memorial de Cálculo'!I31</f>
        <v>85.56</v>
      </c>
      <c r="I41" s="20" t="s">
        <v>21</v>
      </c>
      <c r="J41" s="14">
        <f>'[1]Composições Próprias'!I97</f>
        <v>3.6493000000000002</v>
      </c>
      <c r="K41" s="14">
        <f>'[1]Composições Próprias'!J97</f>
        <v>9.6675000000000004</v>
      </c>
      <c r="L41" s="14">
        <f t="shared" si="19"/>
        <v>13.316800000000001</v>
      </c>
      <c r="M41" s="15">
        <f t="shared" si="20"/>
        <v>1139.3900000000001</v>
      </c>
      <c r="N41" s="16">
        <v>0.23380000000000001</v>
      </c>
      <c r="O41" s="15">
        <f t="shared" si="21"/>
        <v>385.23</v>
      </c>
      <c r="P41" s="15">
        <f t="shared" si="22"/>
        <v>1020.54</v>
      </c>
      <c r="Q41" s="15">
        <f>ROUND(O41+P41,2)</f>
        <v>1405.77</v>
      </c>
      <c r="R41" s="21"/>
      <c r="S41" s="21"/>
      <c r="T41" s="21"/>
      <c r="U41" s="21"/>
      <c r="V41" s="21"/>
      <c r="W41" s="21"/>
      <c r="X41" s="21"/>
      <c r="Y41" s="22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</row>
    <row r="42" spans="2:43" s="24" customFormat="1" ht="33.75" customHeight="1" x14ac:dyDescent="0.25">
      <c r="B42" s="29" t="s">
        <v>85</v>
      </c>
      <c r="C42" s="10">
        <v>102512</v>
      </c>
      <c r="D42" s="78" t="s">
        <v>86</v>
      </c>
      <c r="E42" s="79"/>
      <c r="F42" s="79"/>
      <c r="G42" s="80"/>
      <c r="H42" s="11">
        <f>'[1]Memorial de Cálculo'!I32</f>
        <v>2139</v>
      </c>
      <c r="I42" s="20" t="s">
        <v>31</v>
      </c>
      <c r="J42" s="13">
        <v>2.35</v>
      </c>
      <c r="K42" s="13">
        <v>1.54</v>
      </c>
      <c r="L42" s="14">
        <f t="shared" si="19"/>
        <v>3.89</v>
      </c>
      <c r="M42" s="15">
        <f t="shared" si="20"/>
        <v>8320.7099999999991</v>
      </c>
      <c r="N42" s="16">
        <v>0.23380000000000001</v>
      </c>
      <c r="O42" s="15">
        <f t="shared" si="21"/>
        <v>6201.88</v>
      </c>
      <c r="P42" s="15">
        <f t="shared" si="22"/>
        <v>4064.21</v>
      </c>
      <c r="Q42" s="15">
        <f>ROUND(O42+P42,2)</f>
        <v>10266.09</v>
      </c>
      <c r="R42" s="25">
        <f>SUM(Q41:Q42)</f>
        <v>11671.86</v>
      </c>
      <c r="S42" s="21"/>
      <c r="T42" s="25"/>
      <c r="U42" s="21"/>
      <c r="V42" s="21"/>
      <c r="W42" s="21"/>
      <c r="X42" s="21"/>
      <c r="Y42" s="22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</row>
    <row r="43" spans="2:43" ht="20.25" customHeight="1" x14ac:dyDescent="0.25">
      <c r="B43" s="81" t="s">
        <v>87</v>
      </c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19">
        <f>SUM(O41:O42)</f>
        <v>6587.1100000000006</v>
      </c>
      <c r="P43" s="19">
        <f>SUM(P41:P42)</f>
        <v>5084.75</v>
      </c>
      <c r="Q43" s="19">
        <f>SUM(Q41:Q42)</f>
        <v>11671.86</v>
      </c>
      <c r="R43" s="18"/>
      <c r="S43" s="8"/>
      <c r="T43" s="8"/>
      <c r="U43" s="8"/>
      <c r="V43" s="8"/>
      <c r="W43" s="8"/>
      <c r="X43" s="8"/>
      <c r="Y43" s="1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</row>
    <row r="44" spans="2:43" ht="20.25" customHeight="1" x14ac:dyDescent="0.25">
      <c r="B44" s="86" t="s">
        <v>88</v>
      </c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"/>
      <c r="S44" s="8"/>
      <c r="T44" s="8"/>
      <c r="U44" s="8"/>
      <c r="V44" s="8"/>
      <c r="W44" s="8"/>
      <c r="X44" s="8"/>
      <c r="Y44" s="1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</row>
    <row r="45" spans="2:43" ht="20.25" customHeight="1" x14ac:dyDescent="0.25">
      <c r="B45" s="7">
        <v>6</v>
      </c>
      <c r="C45" s="30" t="s">
        <v>17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1"/>
      <c r="R45" s="8"/>
      <c r="S45" s="8"/>
      <c r="T45" s="8"/>
      <c r="U45" s="8"/>
      <c r="V45" s="8"/>
      <c r="W45" s="8"/>
      <c r="X45" s="8"/>
      <c r="Y45" s="1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</row>
    <row r="46" spans="2:43" s="35" customFormat="1" ht="20.25" customHeight="1" x14ac:dyDescent="0.25">
      <c r="B46" s="9" t="s">
        <v>89</v>
      </c>
      <c r="C46" s="27">
        <v>97053</v>
      </c>
      <c r="D46" s="78" t="s">
        <v>90</v>
      </c>
      <c r="E46" s="79"/>
      <c r="F46" s="79"/>
      <c r="G46" s="80"/>
      <c r="H46" s="11">
        <f>7.35*2</f>
        <v>14.7</v>
      </c>
      <c r="I46" s="20" t="s">
        <v>31</v>
      </c>
      <c r="J46" s="14">
        <f>4.87</f>
        <v>4.87</v>
      </c>
      <c r="K46" s="14">
        <v>3.66</v>
      </c>
      <c r="L46" s="14">
        <f t="shared" ref="L46" si="24">J46+K46</f>
        <v>8.5300000000000011</v>
      </c>
      <c r="M46" s="15">
        <f t="shared" ref="M46" si="25">ROUND(L46*H46,2)</f>
        <v>125.39</v>
      </c>
      <c r="N46" s="16">
        <v>0.23380000000000001</v>
      </c>
      <c r="O46" s="15">
        <f t="shared" ref="O46" si="26">ROUND((1+N46)*H46*J46,2)</f>
        <v>88.33</v>
      </c>
      <c r="P46" s="15">
        <f t="shared" ref="P46" si="27">ROUND((1+N46)*H46*K46,2)</f>
        <v>66.38</v>
      </c>
      <c r="Q46" s="15">
        <f t="shared" ref="Q46" si="28">ROUND(O46+P46,2)</f>
        <v>154.71</v>
      </c>
      <c r="R46" s="32">
        <f>Q46</f>
        <v>154.71</v>
      </c>
      <c r="S46" s="33"/>
      <c r="T46" s="33"/>
      <c r="U46" s="33"/>
      <c r="V46" s="33"/>
      <c r="W46" s="33"/>
      <c r="X46" s="33"/>
      <c r="Y46" s="34"/>
    </row>
    <row r="47" spans="2:43" ht="20.25" customHeight="1" x14ac:dyDescent="0.25">
      <c r="B47" s="81" t="s">
        <v>91</v>
      </c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19">
        <f>SUM(O46:O46)</f>
        <v>88.33</v>
      </c>
      <c r="P47" s="19">
        <f>SUM(P46:P46)</f>
        <v>66.38</v>
      </c>
      <c r="Q47" s="19">
        <f>SUM(Q46:Q46)</f>
        <v>154.71</v>
      </c>
      <c r="R47" s="18"/>
      <c r="S47" s="8"/>
      <c r="T47" s="8"/>
      <c r="U47" s="8"/>
      <c r="V47" s="8"/>
      <c r="W47" s="8"/>
      <c r="X47" s="8"/>
      <c r="Y47" s="1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</row>
    <row r="48" spans="2:43" ht="20.25" customHeight="1" x14ac:dyDescent="0.25">
      <c r="B48" s="7">
        <v>7</v>
      </c>
      <c r="C48" s="30" t="s">
        <v>92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1"/>
      <c r="R48" s="8"/>
      <c r="S48" s="8"/>
      <c r="T48" s="8"/>
      <c r="U48" s="8"/>
      <c r="V48" s="8"/>
      <c r="W48" s="8"/>
      <c r="X48" s="8"/>
      <c r="Y48" s="1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</row>
    <row r="49" spans="2:43" ht="20.25" customHeight="1" x14ac:dyDescent="0.25">
      <c r="B49" s="9" t="s">
        <v>93</v>
      </c>
      <c r="C49" s="10">
        <v>98525</v>
      </c>
      <c r="D49" s="78" t="s">
        <v>94</v>
      </c>
      <c r="E49" s="79"/>
      <c r="F49" s="79"/>
      <c r="G49" s="80"/>
      <c r="H49" s="11">
        <f>13*1.5</f>
        <v>19.5</v>
      </c>
      <c r="I49" s="12" t="s">
        <v>21</v>
      </c>
      <c r="J49" s="13">
        <v>0.16</v>
      </c>
      <c r="K49" s="13">
        <v>0.19</v>
      </c>
      <c r="L49" s="14">
        <f t="shared" ref="L49:L52" si="29">J49+K49</f>
        <v>0.35</v>
      </c>
      <c r="M49" s="15">
        <f t="shared" ref="M49:M52" si="30">ROUND(L49*H49,2)</f>
        <v>6.83</v>
      </c>
      <c r="N49" s="16">
        <v>0.23380000000000001</v>
      </c>
      <c r="O49" s="15">
        <f t="shared" ref="O49:O52" si="31">ROUND((1+N49)*H49*J49,2)</f>
        <v>3.85</v>
      </c>
      <c r="P49" s="15">
        <f t="shared" ref="P49:P52" si="32">ROUND((1+N49)*H49*K49,2)</f>
        <v>4.57</v>
      </c>
      <c r="Q49" s="15">
        <f t="shared" ref="Q49:Q52" si="33">ROUND(O49+P49,2)</f>
        <v>8.42</v>
      </c>
      <c r="R49" s="17"/>
      <c r="S49" s="8"/>
      <c r="T49" s="8"/>
      <c r="U49" s="8"/>
      <c r="V49" s="8"/>
      <c r="W49" s="8"/>
      <c r="X49" s="8"/>
      <c r="Y49" s="1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</row>
    <row r="50" spans="2:43" ht="46.5" customHeight="1" x14ac:dyDescent="0.25">
      <c r="B50" s="9" t="s">
        <v>95</v>
      </c>
      <c r="C50" s="10">
        <v>101234</v>
      </c>
      <c r="D50" s="78" t="s">
        <v>96</v>
      </c>
      <c r="E50" s="79"/>
      <c r="F50" s="79"/>
      <c r="G50" s="80"/>
      <c r="H50" s="11">
        <f>15.73*2*7</f>
        <v>220.22</v>
      </c>
      <c r="I50" s="12" t="s">
        <v>36</v>
      </c>
      <c r="J50" s="13">
        <v>11.24</v>
      </c>
      <c r="K50" s="13">
        <v>1.57</v>
      </c>
      <c r="L50" s="14">
        <f t="shared" si="29"/>
        <v>12.81</v>
      </c>
      <c r="M50" s="15">
        <f t="shared" si="30"/>
        <v>2821.02</v>
      </c>
      <c r="N50" s="16">
        <v>0.23380000000000001</v>
      </c>
      <c r="O50" s="15">
        <f t="shared" si="31"/>
        <v>3053.99</v>
      </c>
      <c r="P50" s="15">
        <f t="shared" si="32"/>
        <v>426.58</v>
      </c>
      <c r="Q50" s="15">
        <f t="shared" si="33"/>
        <v>3480.57</v>
      </c>
      <c r="R50" s="8"/>
      <c r="S50" s="8"/>
      <c r="T50" s="8"/>
      <c r="U50" s="8"/>
      <c r="V50" s="8"/>
      <c r="W50" s="8"/>
      <c r="X50" s="8"/>
      <c r="Y50" s="1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</row>
    <row r="51" spans="2:43" ht="35.25" customHeight="1" x14ac:dyDescent="0.25">
      <c r="B51" s="9" t="s">
        <v>97</v>
      </c>
      <c r="C51" s="10">
        <v>95875</v>
      </c>
      <c r="D51" s="78" t="s">
        <v>98</v>
      </c>
      <c r="E51" s="79"/>
      <c r="F51" s="79"/>
      <c r="G51" s="80"/>
      <c r="H51" s="11">
        <f>H50*1</f>
        <v>220.22</v>
      </c>
      <c r="I51" s="12" t="s">
        <v>47</v>
      </c>
      <c r="J51" s="13">
        <v>1.53</v>
      </c>
      <c r="K51" s="13">
        <v>0.22</v>
      </c>
      <c r="L51" s="14">
        <f t="shared" si="29"/>
        <v>1.75</v>
      </c>
      <c r="M51" s="15">
        <f t="shared" si="30"/>
        <v>385.39</v>
      </c>
      <c r="N51" s="16">
        <v>0.23380000000000001</v>
      </c>
      <c r="O51" s="15">
        <f t="shared" si="31"/>
        <v>415.71</v>
      </c>
      <c r="P51" s="15">
        <f t="shared" si="32"/>
        <v>59.78</v>
      </c>
      <c r="Q51" s="15">
        <f t="shared" si="33"/>
        <v>475.49</v>
      </c>
      <c r="R51" s="8"/>
      <c r="S51" s="8"/>
      <c r="T51" s="8"/>
      <c r="U51" s="8"/>
      <c r="V51" s="8"/>
      <c r="W51" s="8"/>
      <c r="X51" s="8"/>
      <c r="Y51" s="1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</row>
    <row r="52" spans="2:43" ht="31.5" customHeight="1" x14ac:dyDescent="0.25">
      <c r="B52" s="9" t="s">
        <v>99</v>
      </c>
      <c r="C52" s="10">
        <v>101574</v>
      </c>
      <c r="D52" s="78" t="s">
        <v>100</v>
      </c>
      <c r="E52" s="79"/>
      <c r="F52" s="79"/>
      <c r="G52" s="80"/>
      <c r="H52" s="11">
        <f>7*2*3</f>
        <v>42</v>
      </c>
      <c r="I52" s="12" t="s">
        <v>21</v>
      </c>
      <c r="J52" s="13">
        <v>5.28</v>
      </c>
      <c r="K52" s="13">
        <v>5.0999999999999996</v>
      </c>
      <c r="L52" s="14">
        <f t="shared" si="29"/>
        <v>10.379999999999999</v>
      </c>
      <c r="M52" s="15">
        <f t="shared" si="30"/>
        <v>435.96</v>
      </c>
      <c r="N52" s="16">
        <v>0.23380000000000001</v>
      </c>
      <c r="O52" s="15">
        <f t="shared" si="31"/>
        <v>273.61</v>
      </c>
      <c r="P52" s="15">
        <f t="shared" si="32"/>
        <v>264.27999999999997</v>
      </c>
      <c r="Q52" s="15">
        <f t="shared" si="33"/>
        <v>537.89</v>
      </c>
      <c r="R52" s="18">
        <f>SUM(Q49:Q52)</f>
        <v>4502.3700000000008</v>
      </c>
      <c r="S52" s="8"/>
      <c r="T52" s="8"/>
      <c r="U52" s="8"/>
      <c r="V52" s="8"/>
      <c r="W52" s="8"/>
      <c r="X52" s="8"/>
      <c r="Y52" s="1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</row>
    <row r="53" spans="2:43" ht="20.25" customHeight="1" x14ac:dyDescent="0.25">
      <c r="B53" s="81" t="s">
        <v>101</v>
      </c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19">
        <f>SUM(O49:O52)</f>
        <v>3747.16</v>
      </c>
      <c r="P53" s="19">
        <f>SUM(P49:P52)</f>
        <v>755.20999999999992</v>
      </c>
      <c r="Q53" s="19">
        <f>SUM(Q49:Q52)</f>
        <v>4502.3700000000008</v>
      </c>
      <c r="R53" s="18"/>
      <c r="S53" s="8"/>
      <c r="T53" s="8"/>
      <c r="U53" s="8"/>
      <c r="V53" s="8"/>
      <c r="W53" s="8"/>
      <c r="X53" s="8"/>
      <c r="Y53" s="1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</row>
    <row r="54" spans="2:43" s="36" customFormat="1" ht="20.25" customHeight="1" x14ac:dyDescent="0.25">
      <c r="B54" s="7">
        <v>8</v>
      </c>
      <c r="C54" s="30" t="s">
        <v>102</v>
      </c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1"/>
      <c r="R54" s="33"/>
      <c r="S54" s="33"/>
      <c r="T54" s="33"/>
      <c r="U54" s="33"/>
      <c r="V54" s="33"/>
      <c r="W54" s="33"/>
      <c r="X54" s="33"/>
      <c r="Y54" s="34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</row>
    <row r="55" spans="2:43" s="36" customFormat="1" ht="20.25" customHeight="1" x14ac:dyDescent="0.25">
      <c r="B55" s="9" t="s">
        <v>103</v>
      </c>
      <c r="C55" s="10">
        <v>96399</v>
      </c>
      <c r="D55" s="78" t="s">
        <v>104</v>
      </c>
      <c r="E55" s="79"/>
      <c r="F55" s="79"/>
      <c r="G55" s="80"/>
      <c r="H55" s="11">
        <f>'[1]Memorial de Cálculo'!I41</f>
        <v>21</v>
      </c>
      <c r="I55" s="12" t="s">
        <v>36</v>
      </c>
      <c r="J55" s="13">
        <v>65.03</v>
      </c>
      <c r="K55" s="13">
        <v>3.79</v>
      </c>
      <c r="L55" s="14">
        <f t="shared" ref="L55:L59" si="34">J55+K55</f>
        <v>68.820000000000007</v>
      </c>
      <c r="M55" s="15">
        <f t="shared" ref="M55:M59" si="35">ROUND(L55*H55,2)</f>
        <v>1445.22</v>
      </c>
      <c r="N55" s="16">
        <v>0.23380000000000001</v>
      </c>
      <c r="O55" s="15">
        <f t="shared" ref="O55:O59" si="36">ROUND((1+N55)*H55*J55,2)</f>
        <v>1684.91</v>
      </c>
      <c r="P55" s="15">
        <f t="shared" ref="P55:P59" si="37">ROUND((1+N55)*H55*K55,2)</f>
        <v>98.2</v>
      </c>
      <c r="Q55" s="15">
        <f t="shared" ref="Q55:Q59" si="38">ROUND(O55+P55,2)</f>
        <v>1783.11</v>
      </c>
      <c r="R55" s="33"/>
      <c r="S55" s="33"/>
      <c r="T55" s="33"/>
      <c r="U55" s="33"/>
      <c r="V55" s="33"/>
      <c r="W55" s="33"/>
      <c r="X55" s="33"/>
      <c r="Y55" s="34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</row>
    <row r="56" spans="2:43" s="36" customFormat="1" ht="20.25" customHeight="1" x14ac:dyDescent="0.25">
      <c r="B56" s="9" t="s">
        <v>105</v>
      </c>
      <c r="C56" s="10">
        <v>95875</v>
      </c>
      <c r="D56" s="78" t="s">
        <v>106</v>
      </c>
      <c r="E56" s="79"/>
      <c r="F56" s="79"/>
      <c r="G56" s="80"/>
      <c r="H56" s="11">
        <f>'[1]Memorial de Cálculo'!I42</f>
        <v>882</v>
      </c>
      <c r="I56" s="12" t="s">
        <v>47</v>
      </c>
      <c r="J56" s="13">
        <v>1.53</v>
      </c>
      <c r="K56" s="13">
        <v>0.22</v>
      </c>
      <c r="L56" s="14">
        <f t="shared" si="34"/>
        <v>1.75</v>
      </c>
      <c r="M56" s="15">
        <f t="shared" si="35"/>
        <v>1543.5</v>
      </c>
      <c r="N56" s="16">
        <v>0.23380000000000001</v>
      </c>
      <c r="O56" s="15">
        <f t="shared" si="36"/>
        <v>1664.96</v>
      </c>
      <c r="P56" s="15">
        <f t="shared" si="37"/>
        <v>239.41</v>
      </c>
      <c r="Q56" s="15">
        <f t="shared" si="38"/>
        <v>1904.37</v>
      </c>
      <c r="R56" s="33"/>
      <c r="S56" s="33"/>
      <c r="T56" s="33"/>
      <c r="U56" s="33"/>
      <c r="V56" s="33"/>
      <c r="W56" s="33"/>
      <c r="X56" s="33"/>
      <c r="Y56" s="34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</row>
    <row r="57" spans="2:43" s="36" customFormat="1" ht="20.25" customHeight="1" x14ac:dyDescent="0.25">
      <c r="B57" s="9" t="s">
        <v>107</v>
      </c>
      <c r="C57" s="10">
        <v>101621</v>
      </c>
      <c r="D57" s="78" t="s">
        <v>108</v>
      </c>
      <c r="E57" s="79"/>
      <c r="F57" s="79"/>
      <c r="G57" s="80"/>
      <c r="H57" s="11">
        <f>'[1]Memorial de Cálculo'!I43</f>
        <v>2.1</v>
      </c>
      <c r="I57" s="12" t="s">
        <v>36</v>
      </c>
      <c r="J57" s="13">
        <f>93.17</f>
        <v>93.17</v>
      </c>
      <c r="K57" s="13">
        <v>80.42</v>
      </c>
      <c r="L57" s="14">
        <f t="shared" si="34"/>
        <v>173.59</v>
      </c>
      <c r="M57" s="15">
        <f t="shared" si="35"/>
        <v>364.54</v>
      </c>
      <c r="N57" s="16">
        <v>0.23380000000000001</v>
      </c>
      <c r="O57" s="15">
        <f t="shared" si="36"/>
        <v>241.4</v>
      </c>
      <c r="P57" s="15">
        <f t="shared" si="37"/>
        <v>208.37</v>
      </c>
      <c r="Q57" s="15">
        <f t="shared" si="38"/>
        <v>449.77</v>
      </c>
      <c r="R57" s="33"/>
      <c r="S57" s="33"/>
      <c r="T57" s="33"/>
      <c r="U57" s="33"/>
      <c r="V57" s="33"/>
      <c r="W57" s="33"/>
      <c r="X57" s="33"/>
      <c r="Y57" s="34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</row>
    <row r="58" spans="2:43" s="36" customFormat="1" ht="20.25" customHeight="1" x14ac:dyDescent="0.25">
      <c r="B58" s="9" t="s">
        <v>109</v>
      </c>
      <c r="C58" s="10">
        <v>95875</v>
      </c>
      <c r="D58" s="78" t="s">
        <v>106</v>
      </c>
      <c r="E58" s="79"/>
      <c r="F58" s="79"/>
      <c r="G58" s="80"/>
      <c r="H58" s="11">
        <f>'[1]Memorial de Cálculo'!I44</f>
        <v>88.199999999999989</v>
      </c>
      <c r="I58" s="12" t="s">
        <v>110</v>
      </c>
      <c r="J58" s="13">
        <f>0.58+0.95</f>
        <v>1.5299999999999998</v>
      </c>
      <c r="K58" s="13">
        <v>0.22</v>
      </c>
      <c r="L58" s="14">
        <f t="shared" si="34"/>
        <v>1.7499999999999998</v>
      </c>
      <c r="M58" s="15">
        <f t="shared" si="35"/>
        <v>154.35</v>
      </c>
      <c r="N58" s="16">
        <v>0.23380000000000001</v>
      </c>
      <c r="O58" s="15">
        <f t="shared" si="36"/>
        <v>166.5</v>
      </c>
      <c r="P58" s="15">
        <f t="shared" si="37"/>
        <v>23.94</v>
      </c>
      <c r="Q58" s="15">
        <f t="shared" si="38"/>
        <v>190.44</v>
      </c>
      <c r="R58" s="33"/>
      <c r="S58" s="33"/>
      <c r="T58" s="33"/>
      <c r="U58" s="33"/>
      <c r="V58" s="33"/>
      <c r="W58" s="33"/>
      <c r="X58" s="33"/>
      <c r="Y58" s="34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</row>
    <row r="59" spans="2:43" s="36" customFormat="1" ht="32.25" customHeight="1" x14ac:dyDescent="0.25">
      <c r="B59" s="9" t="s">
        <v>111</v>
      </c>
      <c r="C59" s="10">
        <v>97084</v>
      </c>
      <c r="D59" s="78" t="s">
        <v>112</v>
      </c>
      <c r="E59" s="79"/>
      <c r="F59" s="79"/>
      <c r="G59" s="80"/>
      <c r="H59" s="11">
        <f>'[1]Memorial de Cálculo'!I45</f>
        <v>42</v>
      </c>
      <c r="I59" s="12" t="s">
        <v>21</v>
      </c>
      <c r="J59" s="13">
        <f>0.11</f>
        <v>0.11</v>
      </c>
      <c r="K59" s="13">
        <v>0.45</v>
      </c>
      <c r="L59" s="14">
        <f t="shared" si="34"/>
        <v>0.56000000000000005</v>
      </c>
      <c r="M59" s="15">
        <f t="shared" si="35"/>
        <v>23.52</v>
      </c>
      <c r="N59" s="16">
        <v>0.23380000000000001</v>
      </c>
      <c r="O59" s="15">
        <f t="shared" si="36"/>
        <v>5.7</v>
      </c>
      <c r="P59" s="15">
        <f t="shared" si="37"/>
        <v>23.32</v>
      </c>
      <c r="Q59" s="15">
        <f t="shared" si="38"/>
        <v>29.02</v>
      </c>
      <c r="R59" s="32">
        <f>SUM(Q55:Q59)</f>
        <v>4356.71</v>
      </c>
      <c r="S59" s="33"/>
      <c r="T59" s="33"/>
      <c r="U59" s="33"/>
      <c r="V59" s="33"/>
      <c r="W59" s="33"/>
      <c r="X59" s="33"/>
      <c r="Y59" s="34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</row>
    <row r="60" spans="2:43" ht="20.25" customHeight="1" x14ac:dyDescent="0.25">
      <c r="B60" s="81" t="s">
        <v>113</v>
      </c>
      <c r="C60" s="82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19">
        <f>SUM(O55:O59)</f>
        <v>3763.47</v>
      </c>
      <c r="P60" s="19">
        <f>SUM(P55:P59)</f>
        <v>593.24000000000012</v>
      </c>
      <c r="Q60" s="19">
        <f>SUM(Q55:Q59)</f>
        <v>4356.71</v>
      </c>
      <c r="R60" s="8"/>
      <c r="S60" s="8"/>
      <c r="T60" s="8"/>
      <c r="U60" s="8"/>
      <c r="V60" s="8"/>
      <c r="W60" s="8"/>
      <c r="X60" s="8"/>
      <c r="Y60" s="1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</row>
    <row r="61" spans="2:43" s="36" customFormat="1" ht="20.25" customHeight="1" x14ac:dyDescent="0.25">
      <c r="B61" s="7">
        <v>9</v>
      </c>
      <c r="C61" s="30" t="s">
        <v>114</v>
      </c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1"/>
      <c r="R61" s="32"/>
      <c r="S61" s="33"/>
      <c r="T61" s="33"/>
      <c r="U61" s="33"/>
      <c r="V61" s="33"/>
      <c r="W61" s="33"/>
      <c r="X61" s="33"/>
      <c r="Y61" s="34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</row>
    <row r="62" spans="2:43" s="36" customFormat="1" ht="32.25" customHeight="1" x14ac:dyDescent="0.25">
      <c r="B62" s="9" t="s">
        <v>115</v>
      </c>
      <c r="C62" s="10">
        <v>100658</v>
      </c>
      <c r="D62" s="78" t="s">
        <v>116</v>
      </c>
      <c r="E62" s="79"/>
      <c r="F62" s="79"/>
      <c r="G62" s="80"/>
      <c r="H62" s="11">
        <f>'[1]Memorial de Cálculo'!I47</f>
        <v>32</v>
      </c>
      <c r="I62" s="12" t="s">
        <v>31</v>
      </c>
      <c r="J62" s="13">
        <f>191.04+5.6</f>
        <v>196.64</v>
      </c>
      <c r="K62" s="13">
        <v>16.420000000000002</v>
      </c>
      <c r="L62" s="14">
        <f t="shared" ref="L62:L69" si="39">J62+K62</f>
        <v>213.06</v>
      </c>
      <c r="M62" s="15">
        <f t="shared" ref="M62:M69" si="40">ROUND(L62*H62,2)</f>
        <v>6817.92</v>
      </c>
      <c r="N62" s="16">
        <v>0.23380000000000001</v>
      </c>
      <c r="O62" s="15">
        <f t="shared" ref="O62:O69" si="41">ROUND((1+N62)*H62*J62,2)</f>
        <v>7763.66</v>
      </c>
      <c r="P62" s="15">
        <f t="shared" ref="P62:P69" si="42">ROUND((1+N62)*H62*K62,2)</f>
        <v>648.29</v>
      </c>
      <c r="Q62" s="15">
        <f t="shared" ref="Q62:Q69" si="43">ROUND(O62+P62,2)</f>
        <v>8411.9500000000007</v>
      </c>
      <c r="R62" s="33"/>
      <c r="S62" s="33"/>
      <c r="T62" s="33"/>
      <c r="U62" s="33"/>
      <c r="V62" s="33"/>
      <c r="W62" s="33"/>
      <c r="X62" s="33"/>
      <c r="Y62" s="34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</row>
    <row r="63" spans="2:43" s="36" customFormat="1" ht="32.25" customHeight="1" x14ac:dyDescent="0.25">
      <c r="B63" s="9" t="s">
        <v>117</v>
      </c>
      <c r="C63" s="10">
        <v>96521</v>
      </c>
      <c r="D63" s="78" t="s">
        <v>118</v>
      </c>
      <c r="E63" s="79"/>
      <c r="F63" s="79"/>
      <c r="G63" s="80"/>
      <c r="H63" s="11">
        <f>'[1]Memorial de Cálculo'!I48</f>
        <v>1.44</v>
      </c>
      <c r="I63" s="12" t="s">
        <v>36</v>
      </c>
      <c r="J63" s="13">
        <v>23.91</v>
      </c>
      <c r="K63" s="13">
        <v>13.18</v>
      </c>
      <c r="L63" s="14">
        <f t="shared" si="39"/>
        <v>37.090000000000003</v>
      </c>
      <c r="M63" s="15">
        <f t="shared" si="40"/>
        <v>53.41</v>
      </c>
      <c r="N63" s="16">
        <v>0.23380000000000001</v>
      </c>
      <c r="O63" s="15">
        <f t="shared" si="41"/>
        <v>42.48</v>
      </c>
      <c r="P63" s="15">
        <f t="shared" si="42"/>
        <v>23.42</v>
      </c>
      <c r="Q63" s="15">
        <f t="shared" si="43"/>
        <v>65.900000000000006</v>
      </c>
      <c r="R63" s="33"/>
      <c r="S63" s="33"/>
      <c r="T63" s="33"/>
      <c r="U63" s="33"/>
      <c r="V63" s="33"/>
      <c r="W63" s="33"/>
      <c r="X63" s="33"/>
      <c r="Y63" s="34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</row>
    <row r="64" spans="2:43" s="36" customFormat="1" ht="32.25" customHeight="1" x14ac:dyDescent="0.25">
      <c r="B64" s="9" t="s">
        <v>119</v>
      </c>
      <c r="C64" s="10">
        <v>96531</v>
      </c>
      <c r="D64" s="78" t="s">
        <v>120</v>
      </c>
      <c r="E64" s="79"/>
      <c r="F64" s="79"/>
      <c r="G64" s="80"/>
      <c r="H64" s="11">
        <f>'[1]Memorial de Cálculo'!I49</f>
        <v>12.48</v>
      </c>
      <c r="I64" s="12" t="s">
        <v>21</v>
      </c>
      <c r="J64" s="13">
        <v>54.37</v>
      </c>
      <c r="K64" s="13">
        <v>36.33</v>
      </c>
      <c r="L64" s="14">
        <f t="shared" si="39"/>
        <v>90.699999999999989</v>
      </c>
      <c r="M64" s="15">
        <f t="shared" si="40"/>
        <v>1131.94</v>
      </c>
      <c r="N64" s="16">
        <v>0.23380000000000001</v>
      </c>
      <c r="O64" s="15">
        <f t="shared" si="41"/>
        <v>837.18</v>
      </c>
      <c r="P64" s="15">
        <f t="shared" si="42"/>
        <v>559.4</v>
      </c>
      <c r="Q64" s="15">
        <f t="shared" si="43"/>
        <v>1396.58</v>
      </c>
      <c r="R64" s="33"/>
      <c r="S64" s="33"/>
      <c r="T64" s="33"/>
      <c r="U64" s="33"/>
      <c r="V64" s="33"/>
      <c r="W64" s="33"/>
      <c r="X64" s="33"/>
      <c r="Y64" s="34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</row>
    <row r="65" spans="2:43" s="36" customFormat="1" ht="20.25" customHeight="1" x14ac:dyDescent="0.25">
      <c r="B65" s="9" t="s">
        <v>121</v>
      </c>
      <c r="C65" s="10">
        <v>96545</v>
      </c>
      <c r="D65" s="78" t="s">
        <v>122</v>
      </c>
      <c r="E65" s="79"/>
      <c r="F65" s="79"/>
      <c r="G65" s="80"/>
      <c r="H65" s="11">
        <f>'[1]Memorial de Cálculo'!I50</f>
        <v>79.64</v>
      </c>
      <c r="I65" s="12" t="s">
        <v>123</v>
      </c>
      <c r="J65" s="13">
        <v>15.49</v>
      </c>
      <c r="K65" s="13">
        <v>2.81</v>
      </c>
      <c r="L65" s="14">
        <f t="shared" si="39"/>
        <v>18.3</v>
      </c>
      <c r="M65" s="15">
        <f t="shared" si="40"/>
        <v>1457.41</v>
      </c>
      <c r="N65" s="16">
        <v>0.23380000000000001</v>
      </c>
      <c r="O65" s="15">
        <f t="shared" si="41"/>
        <v>1522.04</v>
      </c>
      <c r="P65" s="15">
        <f t="shared" si="42"/>
        <v>276.11</v>
      </c>
      <c r="Q65" s="15">
        <f t="shared" si="43"/>
        <v>1798.15</v>
      </c>
      <c r="R65" s="33"/>
      <c r="S65" s="33">
        <f>0.6+0.6+0.6+0.6</f>
        <v>2.4</v>
      </c>
      <c r="T65" s="33">
        <f>S65*5</f>
        <v>12</v>
      </c>
      <c r="U65" s="33">
        <f>0.5+0.6+0.5+0.6</f>
        <v>2.2000000000000002</v>
      </c>
      <c r="V65" s="33">
        <f>U65*6</f>
        <v>13.200000000000001</v>
      </c>
      <c r="W65" s="33">
        <f>V65+T65</f>
        <v>25.200000000000003</v>
      </c>
      <c r="X65" s="33">
        <f>W65*4</f>
        <v>100.80000000000001</v>
      </c>
      <c r="Y65" s="34">
        <f>0.395*X65</f>
        <v>39.81600000000001</v>
      </c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</row>
    <row r="66" spans="2:43" s="36" customFormat="1" ht="35.25" customHeight="1" x14ac:dyDescent="0.25">
      <c r="B66" s="9" t="s">
        <v>124</v>
      </c>
      <c r="C66" s="10">
        <v>97094</v>
      </c>
      <c r="D66" s="78" t="s">
        <v>125</v>
      </c>
      <c r="E66" s="79"/>
      <c r="F66" s="79"/>
      <c r="G66" s="80"/>
      <c r="H66" s="11">
        <f>'[1]Memorial de Cálculo'!I51</f>
        <v>1.44</v>
      </c>
      <c r="I66" s="12" t="s">
        <v>36</v>
      </c>
      <c r="J66" s="13">
        <v>493.17</v>
      </c>
      <c r="K66" s="13">
        <v>15.48</v>
      </c>
      <c r="L66" s="14">
        <f t="shared" si="39"/>
        <v>508.65000000000003</v>
      </c>
      <c r="M66" s="15">
        <f t="shared" si="40"/>
        <v>732.46</v>
      </c>
      <c r="N66" s="16">
        <v>0.23380000000000001</v>
      </c>
      <c r="O66" s="15">
        <f t="shared" si="41"/>
        <v>876.2</v>
      </c>
      <c r="P66" s="15">
        <f t="shared" si="42"/>
        <v>27.5</v>
      </c>
      <c r="Q66" s="15">
        <f t="shared" si="43"/>
        <v>903.7</v>
      </c>
      <c r="R66" s="33"/>
      <c r="S66" s="33"/>
      <c r="T66" s="33"/>
      <c r="U66" s="33"/>
      <c r="V66" s="33"/>
      <c r="W66" s="33"/>
      <c r="X66" s="33"/>
      <c r="Y66" s="34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</row>
    <row r="67" spans="2:43" s="36" customFormat="1" ht="32.25" customHeight="1" x14ac:dyDescent="0.25">
      <c r="B67" s="9" t="s">
        <v>126</v>
      </c>
      <c r="C67" s="10">
        <v>96536</v>
      </c>
      <c r="D67" s="78" t="s">
        <v>127</v>
      </c>
      <c r="E67" s="79"/>
      <c r="F67" s="79"/>
      <c r="G67" s="80"/>
      <c r="H67" s="11">
        <f>'[1]Memorial de Cálculo'!I52</f>
        <v>0.72</v>
      </c>
      <c r="I67" s="12" t="s">
        <v>21</v>
      </c>
      <c r="J67" s="13">
        <v>29.27</v>
      </c>
      <c r="K67" s="13">
        <v>26.57</v>
      </c>
      <c r="L67" s="14">
        <f t="shared" si="39"/>
        <v>55.84</v>
      </c>
      <c r="M67" s="15">
        <f t="shared" si="40"/>
        <v>40.200000000000003</v>
      </c>
      <c r="N67" s="16">
        <v>0.23380000000000001</v>
      </c>
      <c r="O67" s="15">
        <f t="shared" si="41"/>
        <v>26</v>
      </c>
      <c r="P67" s="15">
        <f t="shared" si="42"/>
        <v>23.6</v>
      </c>
      <c r="Q67" s="15">
        <f t="shared" si="43"/>
        <v>49.6</v>
      </c>
      <c r="R67" s="33"/>
      <c r="S67" s="33"/>
      <c r="T67" s="33"/>
      <c r="U67" s="33"/>
      <c r="V67" s="33"/>
      <c r="W67" s="33"/>
      <c r="X67" s="33"/>
      <c r="Y67" s="34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</row>
    <row r="68" spans="2:43" s="36" customFormat="1" ht="20.25" customHeight="1" x14ac:dyDescent="0.25">
      <c r="B68" s="9" t="s">
        <v>128</v>
      </c>
      <c r="C68" s="10">
        <v>96546</v>
      </c>
      <c r="D68" s="78" t="s">
        <v>129</v>
      </c>
      <c r="E68" s="79"/>
      <c r="F68" s="79"/>
      <c r="G68" s="80"/>
      <c r="H68" s="11">
        <f>'[1]Memorial de Cálculo'!I53</f>
        <v>29.62</v>
      </c>
      <c r="I68" s="12" t="s">
        <v>123</v>
      </c>
      <c r="J68" s="13">
        <v>14.43</v>
      </c>
      <c r="K68" s="13">
        <v>2.09</v>
      </c>
      <c r="L68" s="14">
        <f t="shared" si="39"/>
        <v>16.52</v>
      </c>
      <c r="M68" s="15">
        <f t="shared" si="40"/>
        <v>489.32</v>
      </c>
      <c r="N68" s="16">
        <v>0.23380000000000001</v>
      </c>
      <c r="O68" s="15">
        <f t="shared" si="41"/>
        <v>527.35</v>
      </c>
      <c r="P68" s="15">
        <f t="shared" si="42"/>
        <v>76.38</v>
      </c>
      <c r="Q68" s="15">
        <f t="shared" si="43"/>
        <v>603.73</v>
      </c>
      <c r="R68" s="33"/>
      <c r="S68" s="33">
        <f>4*12</f>
        <v>48</v>
      </c>
      <c r="T68" s="33">
        <f>0.617*S68</f>
        <v>29.616</v>
      </c>
      <c r="U68" s="33"/>
      <c r="V68" s="33"/>
      <c r="W68" s="33"/>
      <c r="X68" s="33"/>
      <c r="Y68" s="34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</row>
    <row r="69" spans="2:43" s="36" customFormat="1" ht="20.25" customHeight="1" x14ac:dyDescent="0.25">
      <c r="B69" s="9" t="s">
        <v>130</v>
      </c>
      <c r="C69" s="10">
        <v>96545</v>
      </c>
      <c r="D69" s="78" t="s">
        <v>131</v>
      </c>
      <c r="E69" s="79"/>
      <c r="F69" s="79"/>
      <c r="G69" s="80"/>
      <c r="H69" s="11">
        <f>'[1]Memorial de Cálculo'!I54</f>
        <v>8.1311999999999998</v>
      </c>
      <c r="I69" s="12" t="s">
        <v>123</v>
      </c>
      <c r="J69" s="13">
        <v>15.49</v>
      </c>
      <c r="K69" s="13">
        <v>2.81</v>
      </c>
      <c r="L69" s="14">
        <f t="shared" si="39"/>
        <v>18.3</v>
      </c>
      <c r="M69" s="15">
        <f t="shared" si="40"/>
        <v>148.80000000000001</v>
      </c>
      <c r="N69" s="16">
        <v>0.23380000000000001</v>
      </c>
      <c r="O69" s="15">
        <f t="shared" si="41"/>
        <v>155.4</v>
      </c>
      <c r="P69" s="15">
        <f t="shared" si="42"/>
        <v>28.19</v>
      </c>
      <c r="Q69" s="15">
        <f t="shared" si="43"/>
        <v>183.59</v>
      </c>
      <c r="R69" s="32">
        <f>SUM(Q62:Q69)</f>
        <v>13413.2</v>
      </c>
      <c r="S69" s="33"/>
      <c r="T69" s="33"/>
      <c r="U69" s="33"/>
      <c r="V69" s="33"/>
      <c r="W69" s="33"/>
      <c r="X69" s="33"/>
      <c r="Y69" s="34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</row>
    <row r="70" spans="2:43" ht="20.25" customHeight="1" x14ac:dyDescent="0.25">
      <c r="B70" s="81" t="s">
        <v>132</v>
      </c>
      <c r="C70" s="82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19">
        <f>SUM(O62:O69)</f>
        <v>11750.310000000001</v>
      </c>
      <c r="P70" s="19">
        <f>SUM(P62:P69)</f>
        <v>1662.8899999999999</v>
      </c>
      <c r="Q70" s="19">
        <f>SUM(Q62:Q69)</f>
        <v>13413.2</v>
      </c>
      <c r="R70" s="8"/>
      <c r="S70" s="8"/>
      <c r="T70" s="8"/>
      <c r="U70" s="8"/>
      <c r="V70" s="8"/>
      <c r="W70" s="8"/>
      <c r="X70" s="8"/>
      <c r="Y70" s="1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</row>
    <row r="71" spans="2:43" ht="20.25" customHeight="1" x14ac:dyDescent="0.25">
      <c r="B71" s="7">
        <v>10</v>
      </c>
      <c r="C71" s="30" t="s">
        <v>133</v>
      </c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1"/>
      <c r="R71" s="18"/>
      <c r="S71" s="8"/>
      <c r="T71" s="8"/>
      <c r="U71" s="8"/>
      <c r="V71" s="8"/>
      <c r="W71" s="8"/>
      <c r="X71" s="8"/>
      <c r="Y71" s="1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</row>
    <row r="72" spans="2:43" ht="33" customHeight="1" x14ac:dyDescent="0.25">
      <c r="B72" s="9" t="s">
        <v>134</v>
      </c>
      <c r="C72" s="10">
        <v>97086</v>
      </c>
      <c r="D72" s="78" t="s">
        <v>135</v>
      </c>
      <c r="E72" s="79"/>
      <c r="F72" s="79"/>
      <c r="G72" s="80"/>
      <c r="H72" s="11">
        <f>0.2*50.28</f>
        <v>10.056000000000001</v>
      </c>
      <c r="I72" s="12" t="s">
        <v>21</v>
      </c>
      <c r="J72" s="13">
        <v>35.21</v>
      </c>
      <c r="K72" s="13">
        <v>59.75</v>
      </c>
      <c r="L72" s="14">
        <f t="shared" ref="L72:L74" si="44">J72+K72</f>
        <v>94.960000000000008</v>
      </c>
      <c r="M72" s="15">
        <f t="shared" ref="M72:M74" si="45">ROUND(L72*H72,2)</f>
        <v>954.92</v>
      </c>
      <c r="N72" s="16">
        <v>0.23380000000000001</v>
      </c>
      <c r="O72" s="15">
        <f t="shared" ref="O72:O74" si="46">ROUND((1+N72)*H72*J72,2)</f>
        <v>436.85</v>
      </c>
      <c r="P72" s="15">
        <f t="shared" ref="P72:P74" si="47">ROUND((1+N72)*H72*K72,2)</f>
        <v>741.32</v>
      </c>
      <c r="Q72" s="15">
        <f>ROUND(O72+P72,2)</f>
        <v>1178.17</v>
      </c>
      <c r="R72" s="8"/>
      <c r="S72" s="8"/>
      <c r="T72" s="8"/>
      <c r="U72" s="37"/>
      <c r="V72" s="8"/>
      <c r="W72" s="8"/>
      <c r="X72" s="8"/>
      <c r="Y72" s="1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</row>
    <row r="73" spans="2:43" ht="33" customHeight="1" x14ac:dyDescent="0.25">
      <c r="B73" s="9" t="s">
        <v>136</v>
      </c>
      <c r="C73" s="10">
        <v>92787</v>
      </c>
      <c r="D73" s="78" t="s">
        <v>137</v>
      </c>
      <c r="E73" s="79"/>
      <c r="F73" s="79"/>
      <c r="G73" s="80"/>
      <c r="H73" s="11">
        <v>608.70000000000005</v>
      </c>
      <c r="I73" s="12" t="s">
        <v>123</v>
      </c>
      <c r="J73" s="13">
        <v>14.21</v>
      </c>
      <c r="K73" s="13">
        <v>1.33</v>
      </c>
      <c r="L73" s="14">
        <f t="shared" si="44"/>
        <v>15.540000000000001</v>
      </c>
      <c r="M73" s="15">
        <f t="shared" si="45"/>
        <v>9459.2000000000007</v>
      </c>
      <c r="N73" s="16">
        <v>0.23380000000000001</v>
      </c>
      <c r="O73" s="15">
        <f t="shared" si="46"/>
        <v>10671.91</v>
      </c>
      <c r="P73" s="15">
        <f t="shared" si="47"/>
        <v>998.85</v>
      </c>
      <c r="Q73" s="15">
        <f>ROUND(O73+P73,2)</f>
        <v>11670.76</v>
      </c>
      <c r="R73" s="8"/>
      <c r="S73" s="8">
        <f>35*6+30*7+(53*2.68+13.4*10.54)*2</f>
        <v>986.55200000000002</v>
      </c>
      <c r="T73" s="8">
        <f>0.617*S73</f>
        <v>608.702584</v>
      </c>
      <c r="U73" s="37"/>
      <c r="V73" s="8"/>
      <c r="W73" s="8"/>
      <c r="X73" s="8"/>
      <c r="Y73" s="1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</row>
    <row r="74" spans="2:43" ht="33" customHeight="1" x14ac:dyDescent="0.25">
      <c r="B74" s="9" t="s">
        <v>138</v>
      </c>
      <c r="C74" s="10">
        <v>97096</v>
      </c>
      <c r="D74" s="78" t="s">
        <v>139</v>
      </c>
      <c r="E74" s="79"/>
      <c r="F74" s="79"/>
      <c r="G74" s="80"/>
      <c r="H74" s="11">
        <f>88.16*0.2</f>
        <v>17.632000000000001</v>
      </c>
      <c r="I74" s="12" t="s">
        <v>36</v>
      </c>
      <c r="J74" s="13">
        <v>449.06</v>
      </c>
      <c r="K74" s="13">
        <v>12.62</v>
      </c>
      <c r="L74" s="14">
        <f t="shared" si="44"/>
        <v>461.68</v>
      </c>
      <c r="M74" s="15">
        <f t="shared" si="45"/>
        <v>8140.34</v>
      </c>
      <c r="N74" s="16">
        <v>0.23380000000000001</v>
      </c>
      <c r="O74" s="15">
        <f t="shared" si="46"/>
        <v>9769.01</v>
      </c>
      <c r="P74" s="15">
        <f t="shared" si="47"/>
        <v>274.54000000000002</v>
      </c>
      <c r="Q74" s="15">
        <f>ROUND(O74+P74,2)</f>
        <v>10043.549999999999</v>
      </c>
      <c r="R74" s="18">
        <f>SUM(Q72:Q74)</f>
        <v>22892.48</v>
      </c>
      <c r="S74" s="8"/>
      <c r="T74" s="8"/>
      <c r="U74" s="37"/>
      <c r="V74" s="8"/>
      <c r="W74" s="8"/>
      <c r="X74" s="8"/>
      <c r="Y74" s="1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</row>
    <row r="75" spans="2:43" ht="20.25" customHeight="1" x14ac:dyDescent="0.25">
      <c r="B75" s="81" t="s">
        <v>140</v>
      </c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19">
        <f>SUM(O72:O74)</f>
        <v>20877.77</v>
      </c>
      <c r="P75" s="19">
        <f>SUM(P72:P74)</f>
        <v>2014.71</v>
      </c>
      <c r="Q75" s="19">
        <f>SUM(Q72:Q74)</f>
        <v>22892.48</v>
      </c>
      <c r="R75" s="18"/>
      <c r="S75" s="8"/>
      <c r="T75" s="8"/>
      <c r="U75" s="8"/>
      <c r="V75" s="8"/>
      <c r="W75" s="8"/>
      <c r="X75" s="8"/>
      <c r="Y75" s="1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</row>
    <row r="76" spans="2:43" s="36" customFormat="1" ht="20.25" customHeight="1" x14ac:dyDescent="0.25">
      <c r="B76" s="7">
        <v>11</v>
      </c>
      <c r="C76" s="30" t="s">
        <v>141</v>
      </c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1"/>
      <c r="R76" s="33"/>
      <c r="S76" s="33"/>
      <c r="T76" s="33"/>
      <c r="U76" s="33"/>
      <c r="V76" s="33"/>
      <c r="W76" s="33"/>
      <c r="X76" s="33"/>
      <c r="Y76" s="34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</row>
    <row r="77" spans="2:43" s="36" customFormat="1" ht="39" customHeight="1" x14ac:dyDescent="0.25">
      <c r="B77" s="9" t="s">
        <v>142</v>
      </c>
      <c r="C77" s="10">
        <v>37479</v>
      </c>
      <c r="D77" s="78" t="s">
        <v>143</v>
      </c>
      <c r="E77" s="79"/>
      <c r="F77" s="79"/>
      <c r="G77" s="80"/>
      <c r="H77" s="11">
        <f>7*2</f>
        <v>14</v>
      </c>
      <c r="I77" s="12" t="s">
        <v>144</v>
      </c>
      <c r="J77" s="13">
        <v>6697.47</v>
      </c>
      <c r="K77" s="13">
        <v>0</v>
      </c>
      <c r="L77" s="14">
        <f t="shared" ref="L77:L86" si="48">J77+K77</f>
        <v>6697.47</v>
      </c>
      <c r="M77" s="15">
        <f t="shared" ref="M77:M86" si="49">ROUND(L77*H77,2)</f>
        <v>93764.58</v>
      </c>
      <c r="N77" s="16">
        <v>0.23380000000000001</v>
      </c>
      <c r="O77" s="15">
        <f t="shared" ref="O77:O86" si="50">ROUND((1+N77)*H77*J77,2)</f>
        <v>115686.74</v>
      </c>
      <c r="P77" s="15">
        <f t="shared" ref="P77:P86" si="51">ROUND((1+N77)*H77*K77,2)</f>
        <v>0</v>
      </c>
      <c r="Q77" s="15">
        <f t="shared" ref="Q77:Q86" si="52">ROUND(O77+P77,2)</f>
        <v>115686.74</v>
      </c>
      <c r="R77" s="33"/>
      <c r="S77" s="33"/>
      <c r="T77" s="33"/>
      <c r="U77" s="33"/>
      <c r="V77" s="33"/>
      <c r="W77" s="33"/>
      <c r="X77" s="33"/>
      <c r="Y77" s="34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</row>
    <row r="78" spans="2:43" ht="30" customHeight="1" x14ac:dyDescent="0.25">
      <c r="B78" s="9" t="s">
        <v>145</v>
      </c>
      <c r="C78" s="10">
        <v>93287</v>
      </c>
      <c r="D78" s="78" t="s">
        <v>146</v>
      </c>
      <c r="E78" s="79"/>
      <c r="F78" s="79"/>
      <c r="G78" s="80"/>
      <c r="H78" s="11">
        <v>8</v>
      </c>
      <c r="I78" s="12" t="s">
        <v>147</v>
      </c>
      <c r="J78" s="13">
        <v>445.64</v>
      </c>
      <c r="K78" s="13">
        <v>20.7</v>
      </c>
      <c r="L78" s="14">
        <f t="shared" si="48"/>
        <v>466.34</v>
      </c>
      <c r="M78" s="15">
        <f t="shared" si="49"/>
        <v>3730.72</v>
      </c>
      <c r="N78" s="16">
        <v>0.23380000000000001</v>
      </c>
      <c r="O78" s="15">
        <f t="shared" si="50"/>
        <v>4398.6499999999996</v>
      </c>
      <c r="P78" s="15">
        <f t="shared" si="51"/>
        <v>204.32</v>
      </c>
      <c r="Q78" s="15">
        <f t="shared" si="52"/>
        <v>4602.97</v>
      </c>
      <c r="R78" s="8"/>
      <c r="S78" s="8"/>
      <c r="T78" s="38"/>
      <c r="U78" s="8"/>
      <c r="V78" s="8"/>
      <c r="W78" s="8"/>
      <c r="X78" s="8"/>
      <c r="Y78" s="1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</row>
    <row r="79" spans="2:43" ht="30" customHeight="1" x14ac:dyDescent="0.25">
      <c r="B79" s="9" t="s">
        <v>148</v>
      </c>
      <c r="C79" s="10">
        <v>93288</v>
      </c>
      <c r="D79" s="78" t="s">
        <v>149</v>
      </c>
      <c r="E79" s="79"/>
      <c r="F79" s="79"/>
      <c r="G79" s="80"/>
      <c r="H79" s="11">
        <v>16</v>
      </c>
      <c r="I79" s="12" t="s">
        <v>150</v>
      </c>
      <c r="J79" s="13">
        <v>101.6</v>
      </c>
      <c r="K79" s="13">
        <v>20.7</v>
      </c>
      <c r="L79" s="14">
        <f t="shared" si="48"/>
        <v>122.3</v>
      </c>
      <c r="M79" s="15">
        <f t="shared" si="49"/>
        <v>1956.8</v>
      </c>
      <c r="N79" s="16">
        <v>0.23380000000000001</v>
      </c>
      <c r="O79" s="15">
        <f t="shared" si="50"/>
        <v>2005.67</v>
      </c>
      <c r="P79" s="15">
        <f t="shared" si="51"/>
        <v>408.63</v>
      </c>
      <c r="Q79" s="15">
        <f t="shared" si="52"/>
        <v>2414.3000000000002</v>
      </c>
      <c r="R79" s="8"/>
      <c r="S79" s="8"/>
      <c r="T79" s="38"/>
      <c r="U79" s="8"/>
      <c r="V79" s="8"/>
      <c r="W79" s="8"/>
      <c r="X79" s="8"/>
      <c r="Y79" s="1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</row>
    <row r="80" spans="2:43" ht="30" customHeight="1" x14ac:dyDescent="0.25">
      <c r="B80" s="9" t="s">
        <v>151</v>
      </c>
      <c r="C80" s="10">
        <v>97086</v>
      </c>
      <c r="D80" s="78" t="s">
        <v>135</v>
      </c>
      <c r="E80" s="79"/>
      <c r="F80" s="79"/>
      <c r="G80" s="80"/>
      <c r="H80" s="11">
        <f>6*2+7*2</f>
        <v>26</v>
      </c>
      <c r="I80" s="12" t="s">
        <v>21</v>
      </c>
      <c r="J80" s="13">
        <v>35.21</v>
      </c>
      <c r="K80" s="13">
        <v>59.75</v>
      </c>
      <c r="L80" s="14">
        <f t="shared" si="48"/>
        <v>94.960000000000008</v>
      </c>
      <c r="M80" s="15">
        <f t="shared" si="49"/>
        <v>2468.96</v>
      </c>
      <c r="N80" s="16">
        <v>0.23380000000000001</v>
      </c>
      <c r="O80" s="15">
        <f t="shared" si="50"/>
        <v>1129.49</v>
      </c>
      <c r="P80" s="15">
        <f t="shared" si="51"/>
        <v>1916.71</v>
      </c>
      <c r="Q80" s="15">
        <f t="shared" si="52"/>
        <v>3046.2</v>
      </c>
      <c r="R80" s="8"/>
      <c r="S80" s="8"/>
      <c r="T80" s="38"/>
      <c r="U80" s="8"/>
      <c r="V80" s="8"/>
      <c r="W80" s="8"/>
      <c r="X80" s="8"/>
      <c r="Y80" s="1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</row>
    <row r="81" spans="2:43" ht="30" customHeight="1" x14ac:dyDescent="0.25">
      <c r="B81" s="9" t="s">
        <v>152</v>
      </c>
      <c r="C81" s="10">
        <v>92787</v>
      </c>
      <c r="D81" s="78" t="s">
        <v>137</v>
      </c>
      <c r="E81" s="79"/>
      <c r="F81" s="79"/>
      <c r="G81" s="80"/>
      <c r="H81" s="11">
        <v>259.14</v>
      </c>
      <c r="I81" s="12" t="s">
        <v>123</v>
      </c>
      <c r="J81" s="13">
        <v>14.21</v>
      </c>
      <c r="K81" s="13">
        <v>1.33</v>
      </c>
      <c r="L81" s="14">
        <f t="shared" si="48"/>
        <v>15.540000000000001</v>
      </c>
      <c r="M81" s="15">
        <f t="shared" si="49"/>
        <v>4027.04</v>
      </c>
      <c r="N81" s="16">
        <v>0.23380000000000001</v>
      </c>
      <c r="O81" s="15">
        <f t="shared" si="50"/>
        <v>4543.32</v>
      </c>
      <c r="P81" s="15">
        <f t="shared" si="51"/>
        <v>425.24</v>
      </c>
      <c r="Q81" s="15">
        <f t="shared" si="52"/>
        <v>4968.5600000000004</v>
      </c>
      <c r="R81" s="8"/>
      <c r="S81" s="8">
        <f>35*6+30*7</f>
        <v>420</v>
      </c>
      <c r="T81" s="38">
        <f>0.617*S81</f>
        <v>259.14</v>
      </c>
      <c r="U81" s="8"/>
      <c r="V81" s="8"/>
      <c r="W81" s="8"/>
      <c r="X81" s="8"/>
      <c r="Y81" s="1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</row>
    <row r="82" spans="2:43" ht="39.950000000000003" customHeight="1" x14ac:dyDescent="0.25">
      <c r="B82" s="9" t="s">
        <v>153</v>
      </c>
      <c r="C82" s="10">
        <v>97094</v>
      </c>
      <c r="D82" s="78" t="s">
        <v>154</v>
      </c>
      <c r="E82" s="79"/>
      <c r="F82" s="79"/>
      <c r="G82" s="80"/>
      <c r="H82" s="11">
        <f>6*7*0.2</f>
        <v>8.4</v>
      </c>
      <c r="I82" s="12" t="s">
        <v>36</v>
      </c>
      <c r="J82" s="13">
        <v>493.17</v>
      </c>
      <c r="K82" s="13">
        <v>15.48</v>
      </c>
      <c r="L82" s="14">
        <f t="shared" si="48"/>
        <v>508.65000000000003</v>
      </c>
      <c r="M82" s="15">
        <f t="shared" si="49"/>
        <v>4272.66</v>
      </c>
      <c r="N82" s="16">
        <v>0.23380000000000001</v>
      </c>
      <c r="O82" s="15">
        <f t="shared" si="50"/>
        <v>5111.17</v>
      </c>
      <c r="P82" s="15">
        <f t="shared" si="51"/>
        <v>160.43</v>
      </c>
      <c r="Q82" s="15">
        <f t="shared" si="52"/>
        <v>5271.6</v>
      </c>
      <c r="R82" s="8"/>
      <c r="S82" s="8"/>
      <c r="T82" s="8"/>
      <c r="U82" s="8"/>
      <c r="V82" s="8"/>
      <c r="W82" s="8"/>
      <c r="X82" s="8"/>
      <c r="Y82" s="1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</row>
    <row r="83" spans="2:43" ht="30" customHeight="1" x14ac:dyDescent="0.25">
      <c r="B83" s="9" t="s">
        <v>155</v>
      </c>
      <c r="C83" s="10">
        <v>92411</v>
      </c>
      <c r="D83" s="78" t="s">
        <v>156</v>
      </c>
      <c r="E83" s="79"/>
      <c r="F83" s="79"/>
      <c r="G83" s="80"/>
      <c r="H83" s="11">
        <f>3.8*0.5*4*8</f>
        <v>60.8</v>
      </c>
      <c r="I83" s="12" t="s">
        <v>21</v>
      </c>
      <c r="J83" s="13">
        <v>78.41</v>
      </c>
      <c r="K83" s="13">
        <v>61.25</v>
      </c>
      <c r="L83" s="14">
        <f t="shared" si="48"/>
        <v>139.66</v>
      </c>
      <c r="M83" s="15">
        <f t="shared" si="49"/>
        <v>8491.33</v>
      </c>
      <c r="N83" s="16">
        <v>0.23380000000000001</v>
      </c>
      <c r="O83" s="15">
        <f t="shared" si="50"/>
        <v>5881.93</v>
      </c>
      <c r="P83" s="15">
        <f t="shared" si="51"/>
        <v>4594.67</v>
      </c>
      <c r="Q83" s="15">
        <f t="shared" si="52"/>
        <v>10476.6</v>
      </c>
      <c r="R83" s="8"/>
      <c r="S83" s="8"/>
      <c r="T83" s="38"/>
      <c r="U83" s="8"/>
      <c r="V83" s="8"/>
      <c r="W83" s="8"/>
      <c r="X83" s="8"/>
      <c r="Y83" s="1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</row>
    <row r="84" spans="2:43" ht="39.75" customHeight="1" x14ac:dyDescent="0.25">
      <c r="B84" s="9" t="s">
        <v>157</v>
      </c>
      <c r="C84" s="10">
        <v>92759</v>
      </c>
      <c r="D84" s="78" t="s">
        <v>158</v>
      </c>
      <c r="E84" s="79"/>
      <c r="F84" s="79"/>
      <c r="G84" s="80"/>
      <c r="H84" s="11">
        <v>53.96</v>
      </c>
      <c r="I84" s="12" t="s">
        <v>123</v>
      </c>
      <c r="J84" s="13">
        <v>13.8</v>
      </c>
      <c r="K84" s="13">
        <v>3.78</v>
      </c>
      <c r="L84" s="14">
        <f t="shared" si="48"/>
        <v>17.580000000000002</v>
      </c>
      <c r="M84" s="15">
        <f t="shared" si="49"/>
        <v>948.62</v>
      </c>
      <c r="N84" s="16">
        <v>0.23380000000000001</v>
      </c>
      <c r="O84" s="15">
        <f t="shared" si="50"/>
        <v>918.75</v>
      </c>
      <c r="P84" s="15">
        <f t="shared" si="51"/>
        <v>251.66</v>
      </c>
      <c r="Q84" s="15">
        <f t="shared" si="52"/>
        <v>1170.4100000000001</v>
      </c>
      <c r="R84" s="8"/>
      <c r="S84" s="8">
        <f>0.5*4*175.2</f>
        <v>350.4</v>
      </c>
      <c r="T84" s="38">
        <f>0.154*S84</f>
        <v>53.961599999999997</v>
      </c>
      <c r="U84" s="8"/>
      <c r="V84" s="8"/>
      <c r="W84" s="8"/>
      <c r="X84" s="8"/>
      <c r="Y84" s="1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</row>
    <row r="85" spans="2:43" ht="39.75" customHeight="1" x14ac:dyDescent="0.25">
      <c r="B85" s="9" t="s">
        <v>159</v>
      </c>
      <c r="C85" s="10">
        <v>92762</v>
      </c>
      <c r="D85" s="78" t="s">
        <v>160</v>
      </c>
      <c r="E85" s="79"/>
      <c r="F85" s="79"/>
      <c r="G85" s="80"/>
      <c r="H85" s="11">
        <v>86.47</v>
      </c>
      <c r="I85" s="12" t="s">
        <v>123</v>
      </c>
      <c r="J85" s="13">
        <v>14.2</v>
      </c>
      <c r="K85" s="13">
        <v>1.22</v>
      </c>
      <c r="L85" s="14">
        <f t="shared" si="48"/>
        <v>15.42</v>
      </c>
      <c r="M85" s="15">
        <f t="shared" si="49"/>
        <v>1333.37</v>
      </c>
      <c r="N85" s="16">
        <v>0.23380000000000001</v>
      </c>
      <c r="O85" s="15">
        <f t="shared" si="50"/>
        <v>1514.95</v>
      </c>
      <c r="P85" s="15">
        <f t="shared" si="51"/>
        <v>130.16</v>
      </c>
      <c r="Q85" s="15">
        <f t="shared" si="52"/>
        <v>1645.11</v>
      </c>
      <c r="R85" s="8"/>
      <c r="S85" s="8">
        <f>4.38*4*8</f>
        <v>140.16</v>
      </c>
      <c r="T85" s="38">
        <f>0.617*S85</f>
        <v>86.478719999999996</v>
      </c>
      <c r="U85" s="8"/>
      <c r="V85" s="8"/>
      <c r="W85" s="8"/>
      <c r="X85" s="8"/>
      <c r="Y85" s="1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</row>
    <row r="86" spans="2:43" ht="39.950000000000003" customHeight="1" x14ac:dyDescent="0.25">
      <c r="B86" s="9" t="s">
        <v>161</v>
      </c>
      <c r="C86" s="10">
        <v>97094</v>
      </c>
      <c r="D86" s="78" t="s">
        <v>162</v>
      </c>
      <c r="E86" s="79"/>
      <c r="F86" s="79"/>
      <c r="G86" s="80"/>
      <c r="H86" s="11">
        <f>3.8*0.5*0.5*8</f>
        <v>7.6</v>
      </c>
      <c r="I86" s="12" t="s">
        <v>36</v>
      </c>
      <c r="J86" s="13">
        <v>493.17</v>
      </c>
      <c r="K86" s="13">
        <v>15.48</v>
      </c>
      <c r="L86" s="14">
        <f t="shared" si="48"/>
        <v>508.65000000000003</v>
      </c>
      <c r="M86" s="15">
        <f t="shared" si="49"/>
        <v>3865.74</v>
      </c>
      <c r="N86" s="16">
        <v>0.23380000000000001</v>
      </c>
      <c r="O86" s="15">
        <f t="shared" si="50"/>
        <v>4624.3999999999996</v>
      </c>
      <c r="P86" s="15">
        <f t="shared" si="51"/>
        <v>145.15</v>
      </c>
      <c r="Q86" s="15">
        <f t="shared" si="52"/>
        <v>4769.55</v>
      </c>
      <c r="R86" s="18">
        <f>SUM(Q77:Q86)</f>
        <v>154052.03999999998</v>
      </c>
      <c r="S86" s="8"/>
      <c r="T86" s="8"/>
      <c r="U86" s="8"/>
      <c r="V86" s="8"/>
      <c r="W86" s="8"/>
      <c r="X86" s="8"/>
      <c r="Y86" s="1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</row>
    <row r="87" spans="2:43" ht="20.25" customHeight="1" x14ac:dyDescent="0.25">
      <c r="B87" s="81" t="s">
        <v>163</v>
      </c>
      <c r="C87" s="82"/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19">
        <f>SUM(O77:O86)</f>
        <v>145815.07</v>
      </c>
      <c r="P87" s="19">
        <f>SUM(P77:P86)</f>
        <v>8236.9699999999993</v>
      </c>
      <c r="Q87" s="19">
        <f>SUM(Q77:Q86)</f>
        <v>154052.03999999998</v>
      </c>
      <c r="R87" s="18"/>
      <c r="S87" s="8"/>
      <c r="T87" s="8"/>
      <c r="U87" s="8"/>
      <c r="V87" s="8"/>
      <c r="W87" s="8"/>
      <c r="X87" s="8"/>
      <c r="Y87" s="1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</row>
    <row r="88" spans="2:43" ht="20.25" customHeight="1" x14ac:dyDescent="0.25">
      <c r="B88" s="7">
        <v>12</v>
      </c>
      <c r="C88" s="30" t="s">
        <v>164</v>
      </c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1"/>
      <c r="R88" s="8"/>
      <c r="S88" s="8"/>
      <c r="T88" s="8"/>
      <c r="U88" s="8"/>
      <c r="V88" s="8"/>
      <c r="W88" s="8"/>
      <c r="X88" s="8"/>
      <c r="Y88" s="1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</row>
    <row r="89" spans="2:43" ht="36" customHeight="1" x14ac:dyDescent="0.25">
      <c r="B89" s="9" t="s">
        <v>165</v>
      </c>
      <c r="C89" s="10">
        <v>102727</v>
      </c>
      <c r="D89" s="78" t="s">
        <v>166</v>
      </c>
      <c r="E89" s="79"/>
      <c r="F89" s="79"/>
      <c r="G89" s="80"/>
      <c r="H89" s="11">
        <f>'[1]Memorial de Cálculo'!I71</f>
        <v>20.91</v>
      </c>
      <c r="I89" s="12" t="s">
        <v>36</v>
      </c>
      <c r="J89" s="13">
        <v>54.42</v>
      </c>
      <c r="K89" s="13">
        <v>28.23</v>
      </c>
      <c r="L89" s="14">
        <f>J89+K89</f>
        <v>82.65</v>
      </c>
      <c r="M89" s="15">
        <f>ROUND(L89*H89,2)</f>
        <v>1728.21</v>
      </c>
      <c r="N89" s="16">
        <v>0.23380000000000001</v>
      </c>
      <c r="O89" s="15">
        <f>ROUND((1+N89)*H89*J89,2)</f>
        <v>1403.97</v>
      </c>
      <c r="P89" s="15">
        <f>ROUND((1+N89)*H89*K89,2)</f>
        <v>728.3</v>
      </c>
      <c r="Q89" s="15">
        <f>ROUND(O89+P89,2)</f>
        <v>2132.27</v>
      </c>
      <c r="R89" s="8"/>
      <c r="S89" s="8"/>
      <c r="T89" s="8"/>
      <c r="U89" s="8"/>
      <c r="V89" s="8"/>
      <c r="W89" s="8"/>
      <c r="X89" s="8"/>
      <c r="Y89" s="1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</row>
    <row r="90" spans="2:43" ht="20.25" customHeight="1" x14ac:dyDescent="0.25">
      <c r="B90" s="9" t="s">
        <v>167</v>
      </c>
      <c r="C90" s="10">
        <v>102730</v>
      </c>
      <c r="D90" s="78" t="s">
        <v>168</v>
      </c>
      <c r="E90" s="79"/>
      <c r="F90" s="79"/>
      <c r="G90" s="80"/>
      <c r="H90" s="11">
        <f>'[1]Memorial de Cálculo'!I72</f>
        <v>333.62</v>
      </c>
      <c r="I90" s="12" t="s">
        <v>123</v>
      </c>
      <c r="J90" s="13">
        <v>14.27</v>
      </c>
      <c r="K90" s="13">
        <v>1.5</v>
      </c>
      <c r="L90" s="14">
        <f>J90+K90</f>
        <v>15.77</v>
      </c>
      <c r="M90" s="15">
        <f>ROUND(L90*H90,2)</f>
        <v>5261.19</v>
      </c>
      <c r="N90" s="16">
        <v>0.23380000000000001</v>
      </c>
      <c r="O90" s="15">
        <f>ROUND((1+N90)*H90*J90,2)</f>
        <v>5873.82</v>
      </c>
      <c r="P90" s="15">
        <f>ROUND((1+N90)*H90*K90,2)</f>
        <v>617.42999999999995</v>
      </c>
      <c r="Q90" s="15">
        <f>ROUND(O90+P90,2)</f>
        <v>6491.25</v>
      </c>
      <c r="R90" s="8"/>
      <c r="S90" s="8">
        <f>(18*3.71+19*3.6)*4</f>
        <v>540.72</v>
      </c>
      <c r="T90" s="8">
        <f>0.617*S90</f>
        <v>333.62423999999999</v>
      </c>
      <c r="U90" s="8"/>
      <c r="V90" s="8"/>
      <c r="W90" s="8"/>
      <c r="X90" s="8"/>
      <c r="Y90" s="1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</row>
    <row r="91" spans="2:43" ht="39" customHeight="1" x14ac:dyDescent="0.25">
      <c r="B91" s="9" t="s">
        <v>169</v>
      </c>
      <c r="C91" s="10">
        <v>102736</v>
      </c>
      <c r="D91" s="78" t="s">
        <v>170</v>
      </c>
      <c r="E91" s="79"/>
      <c r="F91" s="79"/>
      <c r="G91" s="80"/>
      <c r="H91" s="11">
        <f>'[1]Memorial de Cálculo'!I73</f>
        <v>10.235999999999999</v>
      </c>
      <c r="I91" s="12" t="s">
        <v>36</v>
      </c>
      <c r="J91" s="13">
        <v>444.02</v>
      </c>
      <c r="K91" s="13">
        <v>28.74</v>
      </c>
      <c r="L91" s="14">
        <f>J91+K91</f>
        <v>472.76</v>
      </c>
      <c r="M91" s="15">
        <f>ROUND(L91*H91,2)</f>
        <v>4839.17</v>
      </c>
      <c r="N91" s="16">
        <v>0.23380000000000001</v>
      </c>
      <c r="O91" s="15">
        <f>ROUND((1+N91)*H91*J91,2)</f>
        <v>5607.61</v>
      </c>
      <c r="P91" s="15">
        <f>ROUND((1+N91)*H91*K91,2)</f>
        <v>362.96</v>
      </c>
      <c r="Q91" s="15">
        <f>ROUND(O91+P91,2)</f>
        <v>5970.57</v>
      </c>
      <c r="R91" s="8"/>
      <c r="S91" s="8"/>
      <c r="T91" s="8"/>
      <c r="U91" s="8"/>
      <c r="V91" s="8"/>
      <c r="W91" s="8"/>
      <c r="X91" s="8"/>
      <c r="Y91" s="1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</row>
    <row r="92" spans="2:43" ht="20.25" customHeight="1" x14ac:dyDescent="0.25">
      <c r="B92" s="9" t="s">
        <v>171</v>
      </c>
      <c r="C92" s="10">
        <v>96620</v>
      </c>
      <c r="D92" s="78" t="s">
        <v>172</v>
      </c>
      <c r="E92" s="79"/>
      <c r="F92" s="79"/>
      <c r="G92" s="80"/>
      <c r="H92" s="11">
        <f>'[1]Memorial de Cálculo'!I74</f>
        <v>0.2</v>
      </c>
      <c r="I92" s="12" t="s">
        <v>36</v>
      </c>
      <c r="J92" s="13">
        <v>313.58</v>
      </c>
      <c r="K92" s="13">
        <v>171.88</v>
      </c>
      <c r="L92" s="14">
        <f>J92+K92</f>
        <v>485.46</v>
      </c>
      <c r="M92" s="15">
        <f>ROUND(L92*H92,2)</f>
        <v>97.09</v>
      </c>
      <c r="N92" s="16">
        <v>0.23380000000000001</v>
      </c>
      <c r="O92" s="15">
        <f>ROUND((1+N92)*H92*J92,2)</f>
        <v>77.38</v>
      </c>
      <c r="P92" s="15">
        <f>ROUND((1+N92)*H92*K92,2)</f>
        <v>42.41</v>
      </c>
      <c r="Q92" s="15">
        <f>ROUND(O92+P92,2)</f>
        <v>119.79</v>
      </c>
      <c r="R92" s="18">
        <f>SUM(Q89:Q92)</f>
        <v>14713.880000000001</v>
      </c>
      <c r="S92" s="8"/>
      <c r="T92" s="8"/>
      <c r="U92" s="8"/>
      <c r="V92" s="8"/>
      <c r="W92" s="8"/>
      <c r="X92" s="8"/>
      <c r="Y92" s="1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</row>
    <row r="93" spans="2:43" ht="20.25" customHeight="1" x14ac:dyDescent="0.25">
      <c r="B93" s="81" t="s">
        <v>173</v>
      </c>
      <c r="C93" s="82"/>
      <c r="D93" s="82"/>
      <c r="E93" s="82"/>
      <c r="F93" s="82"/>
      <c r="G93" s="82"/>
      <c r="H93" s="82"/>
      <c r="I93" s="82"/>
      <c r="J93" s="82"/>
      <c r="K93" s="82"/>
      <c r="L93" s="82"/>
      <c r="M93" s="82"/>
      <c r="N93" s="82"/>
      <c r="O93" s="19">
        <f>SUM(O89:O92)</f>
        <v>12962.779999999999</v>
      </c>
      <c r="P93" s="19">
        <f>SUM(P89:P92)</f>
        <v>1751.1000000000001</v>
      </c>
      <c r="Q93" s="19">
        <f>SUM(Q89:Q92)</f>
        <v>14713.880000000001</v>
      </c>
      <c r="R93" s="18"/>
      <c r="S93" s="8"/>
      <c r="T93" s="8"/>
      <c r="U93" s="8"/>
      <c r="V93" s="8"/>
      <c r="W93" s="8"/>
      <c r="X93" s="8"/>
      <c r="Y93" s="1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</row>
    <row r="94" spans="2:43" ht="20.25" customHeight="1" x14ac:dyDescent="0.25">
      <c r="B94" s="7">
        <v>13</v>
      </c>
      <c r="C94" s="30" t="s">
        <v>174</v>
      </c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1"/>
      <c r="R94" s="8"/>
      <c r="S94" s="8"/>
      <c r="T94" s="8"/>
      <c r="U94" s="8"/>
      <c r="V94" s="8"/>
      <c r="W94" s="8"/>
      <c r="X94" s="8"/>
      <c r="Y94" s="1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</row>
    <row r="95" spans="2:43" ht="32.25" customHeight="1" x14ac:dyDescent="0.25">
      <c r="B95" s="9" t="s">
        <v>175</v>
      </c>
      <c r="C95" s="10">
        <v>96536</v>
      </c>
      <c r="D95" s="78" t="s">
        <v>176</v>
      </c>
      <c r="E95" s="79"/>
      <c r="F95" s="79"/>
      <c r="G95" s="80"/>
      <c r="H95" s="11">
        <f>16.8*0.6*2</f>
        <v>20.16</v>
      </c>
      <c r="I95" s="12" t="s">
        <v>21</v>
      </c>
      <c r="J95" s="13">
        <v>29.27</v>
      </c>
      <c r="K95" s="13">
        <v>26.57</v>
      </c>
      <c r="L95" s="14">
        <f t="shared" ref="L95:L98" si="53">J95+K95</f>
        <v>55.84</v>
      </c>
      <c r="M95" s="15">
        <f t="shared" ref="M95:M98" si="54">ROUND(L95*H95,2)</f>
        <v>1125.73</v>
      </c>
      <c r="N95" s="16">
        <v>0.23380000000000001</v>
      </c>
      <c r="O95" s="15">
        <f t="shared" ref="O95:O98" si="55">ROUND((1+N95)*H95*J95,2)</f>
        <v>728.04</v>
      </c>
      <c r="P95" s="15">
        <f t="shared" ref="P95:P98" si="56">ROUND((1+N95)*H95*K95,2)</f>
        <v>660.89</v>
      </c>
      <c r="Q95" s="15">
        <f>ROUND(O95+P95,2)</f>
        <v>1388.93</v>
      </c>
      <c r="R95" s="8"/>
      <c r="S95" s="8"/>
      <c r="T95" s="8"/>
      <c r="U95" s="8"/>
      <c r="V95" s="8"/>
      <c r="W95" s="8"/>
      <c r="X95" s="8"/>
      <c r="Y95" s="1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</row>
    <row r="96" spans="2:43" ht="20.25" customHeight="1" x14ac:dyDescent="0.25">
      <c r="B96" s="9" t="s">
        <v>177</v>
      </c>
      <c r="C96" s="10">
        <v>96546</v>
      </c>
      <c r="D96" s="78" t="s">
        <v>178</v>
      </c>
      <c r="E96" s="79"/>
      <c r="F96" s="79"/>
      <c r="G96" s="80"/>
      <c r="H96" s="11">
        <v>59.23</v>
      </c>
      <c r="I96" s="12" t="s">
        <v>123</v>
      </c>
      <c r="J96" s="13">
        <v>14.43</v>
      </c>
      <c r="K96" s="13">
        <v>2.09</v>
      </c>
      <c r="L96" s="14">
        <f t="shared" si="53"/>
        <v>16.52</v>
      </c>
      <c r="M96" s="15">
        <f t="shared" si="54"/>
        <v>978.48</v>
      </c>
      <c r="N96" s="16">
        <v>0.23380000000000001</v>
      </c>
      <c r="O96" s="15">
        <f t="shared" si="55"/>
        <v>1054.52</v>
      </c>
      <c r="P96" s="15">
        <f t="shared" si="56"/>
        <v>152.72999999999999</v>
      </c>
      <c r="Q96" s="15">
        <f>ROUND(O96+P96,2)</f>
        <v>1207.25</v>
      </c>
      <c r="R96" s="8"/>
      <c r="S96" s="8">
        <f>4*12*2</f>
        <v>96</v>
      </c>
      <c r="T96" s="8">
        <f>0.617*S96</f>
        <v>59.231999999999999</v>
      </c>
      <c r="U96" s="8"/>
      <c r="V96" s="8"/>
      <c r="W96" s="8"/>
      <c r="X96" s="8"/>
      <c r="Y96" s="1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</row>
    <row r="97" spans="2:43" ht="20.25" customHeight="1" x14ac:dyDescent="0.25">
      <c r="B97" s="9" t="s">
        <v>179</v>
      </c>
      <c r="C97" s="10">
        <v>96543</v>
      </c>
      <c r="D97" s="78" t="s">
        <v>180</v>
      </c>
      <c r="E97" s="79"/>
      <c r="F97" s="79"/>
      <c r="G97" s="80"/>
      <c r="H97" s="11">
        <v>27.72</v>
      </c>
      <c r="I97" s="12" t="s">
        <v>123</v>
      </c>
      <c r="J97" s="13">
        <v>14.39</v>
      </c>
      <c r="K97" s="13">
        <v>5.51</v>
      </c>
      <c r="L97" s="14">
        <f t="shared" si="53"/>
        <v>19.899999999999999</v>
      </c>
      <c r="M97" s="15">
        <f t="shared" si="54"/>
        <v>551.63</v>
      </c>
      <c r="N97" s="16">
        <v>0.23380000000000001</v>
      </c>
      <c r="O97" s="15">
        <f t="shared" si="55"/>
        <v>492.15</v>
      </c>
      <c r="P97" s="15">
        <f t="shared" si="56"/>
        <v>188.45</v>
      </c>
      <c r="Q97" s="15">
        <f>ROUND(O97+P97,2)</f>
        <v>680.6</v>
      </c>
      <c r="R97" s="8"/>
      <c r="S97" s="8">
        <f>24/0.2</f>
        <v>120</v>
      </c>
      <c r="T97" s="8">
        <f>0.6+0.6+0.15+0.15</f>
        <v>1.4999999999999998</v>
      </c>
      <c r="U97" s="8">
        <f>T97*S97</f>
        <v>179.99999999999997</v>
      </c>
      <c r="V97" s="8">
        <f>0.154*U97</f>
        <v>27.719999999999995</v>
      </c>
      <c r="W97" s="8"/>
      <c r="X97" s="8"/>
      <c r="Y97" s="1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</row>
    <row r="98" spans="2:43" ht="44.25" customHeight="1" x14ac:dyDescent="0.25">
      <c r="B98" s="9" t="s">
        <v>181</v>
      </c>
      <c r="C98" s="10">
        <v>100349</v>
      </c>
      <c r="D98" s="78" t="s">
        <v>182</v>
      </c>
      <c r="E98" s="79"/>
      <c r="F98" s="79"/>
      <c r="G98" s="80"/>
      <c r="H98" s="11">
        <f>16.8*0.6*0.15*2</f>
        <v>3.024</v>
      </c>
      <c r="I98" s="12" t="s">
        <v>36</v>
      </c>
      <c r="J98" s="13">
        <v>468.48</v>
      </c>
      <c r="K98" s="13">
        <v>18.649999999999999</v>
      </c>
      <c r="L98" s="14">
        <f t="shared" si="53"/>
        <v>487.13</v>
      </c>
      <c r="M98" s="15">
        <f t="shared" si="54"/>
        <v>1473.08</v>
      </c>
      <c r="N98" s="16">
        <v>0.23380000000000001</v>
      </c>
      <c r="O98" s="15">
        <f t="shared" si="55"/>
        <v>1747.9</v>
      </c>
      <c r="P98" s="15">
        <f t="shared" si="56"/>
        <v>69.58</v>
      </c>
      <c r="Q98" s="15">
        <f>ROUND(O98+P98,2)</f>
        <v>1817.48</v>
      </c>
      <c r="R98" s="18">
        <f>SUM(Q95:Q98)</f>
        <v>5094.26</v>
      </c>
      <c r="S98" s="8"/>
      <c r="T98" s="8"/>
      <c r="U98" s="8"/>
      <c r="V98" s="8"/>
      <c r="W98" s="8"/>
      <c r="X98" s="8"/>
      <c r="Y98" s="1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</row>
    <row r="99" spans="2:43" ht="20.25" customHeight="1" x14ac:dyDescent="0.25">
      <c r="B99" s="81" t="s">
        <v>183</v>
      </c>
      <c r="C99" s="82"/>
      <c r="D99" s="82"/>
      <c r="E99" s="82"/>
      <c r="F99" s="82"/>
      <c r="G99" s="82"/>
      <c r="H99" s="82"/>
      <c r="I99" s="82"/>
      <c r="J99" s="82"/>
      <c r="K99" s="82"/>
      <c r="L99" s="82"/>
      <c r="M99" s="82"/>
      <c r="N99" s="82"/>
      <c r="O99" s="19">
        <f>SUM(O95:O98)</f>
        <v>4022.61</v>
      </c>
      <c r="P99" s="19">
        <f>SUM(P95:P98)</f>
        <v>1071.6499999999999</v>
      </c>
      <c r="Q99" s="19">
        <f>SUM(Q95:Q98)</f>
        <v>5094.26</v>
      </c>
      <c r="R99" s="18"/>
      <c r="S99" s="8"/>
      <c r="T99" s="8"/>
      <c r="U99" s="8"/>
      <c r="V99" s="8"/>
      <c r="W99" s="8"/>
      <c r="X99" s="8"/>
      <c r="Y99" s="1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</row>
    <row r="100" spans="2:43" ht="20.25" customHeight="1" x14ac:dyDescent="0.25">
      <c r="B100" s="7">
        <v>14</v>
      </c>
      <c r="C100" s="30" t="s">
        <v>184</v>
      </c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1"/>
      <c r="R100" s="8"/>
      <c r="S100" s="8"/>
      <c r="T100" s="8"/>
      <c r="U100" s="8"/>
      <c r="V100" s="8"/>
      <c r="W100" s="8"/>
      <c r="X100" s="8"/>
      <c r="Y100" s="1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</row>
    <row r="101" spans="2:43" ht="30.75" customHeight="1" x14ac:dyDescent="0.25">
      <c r="B101" s="9" t="s">
        <v>185</v>
      </c>
      <c r="C101" s="10">
        <v>93363</v>
      </c>
      <c r="D101" s="78" t="s">
        <v>186</v>
      </c>
      <c r="E101" s="79"/>
      <c r="F101" s="79"/>
      <c r="G101" s="80"/>
      <c r="H101" s="11">
        <f>'[1]Memorial de Cálculo'!I82</f>
        <v>219.24</v>
      </c>
      <c r="I101" s="12" t="s">
        <v>36</v>
      </c>
      <c r="J101" s="13">
        <v>8.82</v>
      </c>
      <c r="K101" s="13">
        <v>3.63</v>
      </c>
      <c r="L101" s="14">
        <f t="shared" ref="L101:L104" si="57">J101+K101</f>
        <v>12.45</v>
      </c>
      <c r="M101" s="15">
        <f t="shared" ref="M101:M104" si="58">ROUND(L101*H101,2)</f>
        <v>2729.54</v>
      </c>
      <c r="N101" s="16">
        <v>0.23380000000000001</v>
      </c>
      <c r="O101" s="15">
        <f t="shared" ref="O101:O104" si="59">ROUND((1+N101)*H101*J101,2)</f>
        <v>2385.8000000000002</v>
      </c>
      <c r="P101" s="15">
        <f t="shared" ref="P101:P104" si="60">ROUND((1+N101)*H101*K101,2)</f>
        <v>981.91</v>
      </c>
      <c r="Q101" s="15">
        <f>ROUND(O101+P101,2)</f>
        <v>3367.71</v>
      </c>
      <c r="R101" s="18"/>
      <c r="S101" s="8"/>
      <c r="T101" s="8"/>
      <c r="U101" s="8"/>
      <c r="V101" s="8"/>
      <c r="W101" s="8"/>
      <c r="X101" s="8"/>
      <c r="Y101" s="1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</row>
    <row r="102" spans="2:43" ht="20.25" customHeight="1" x14ac:dyDescent="0.25">
      <c r="B102" s="9" t="s">
        <v>187</v>
      </c>
      <c r="C102" s="10">
        <v>95875</v>
      </c>
      <c r="D102" s="78" t="s">
        <v>106</v>
      </c>
      <c r="E102" s="79"/>
      <c r="F102" s="79"/>
      <c r="G102" s="80"/>
      <c r="H102" s="11">
        <f>'[1]Memorial de Cálculo'!I83</f>
        <v>219.24</v>
      </c>
      <c r="I102" s="12" t="s">
        <v>47</v>
      </c>
      <c r="J102" s="13">
        <f>0.58+0.95</f>
        <v>1.5299999999999998</v>
      </c>
      <c r="K102" s="13">
        <v>0.22</v>
      </c>
      <c r="L102" s="14">
        <f t="shared" si="57"/>
        <v>1.7499999999999998</v>
      </c>
      <c r="M102" s="15">
        <f t="shared" si="58"/>
        <v>383.67</v>
      </c>
      <c r="N102" s="16">
        <v>0.23380000000000001</v>
      </c>
      <c r="O102" s="15">
        <f t="shared" si="59"/>
        <v>413.86</v>
      </c>
      <c r="P102" s="15">
        <f t="shared" si="60"/>
        <v>59.51</v>
      </c>
      <c r="Q102" s="15">
        <f>ROUND(O102+P102,2)</f>
        <v>473.37</v>
      </c>
      <c r="R102" s="8"/>
      <c r="S102" s="8"/>
      <c r="T102" s="8"/>
      <c r="U102" s="8"/>
      <c r="V102" s="8"/>
      <c r="W102" s="8"/>
      <c r="X102" s="8"/>
      <c r="Y102" s="1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</row>
    <row r="103" spans="2:43" s="24" customFormat="1" ht="33.75" customHeight="1" x14ac:dyDescent="0.25">
      <c r="B103" s="9" t="s">
        <v>188</v>
      </c>
      <c r="C103" s="10">
        <v>96385</v>
      </c>
      <c r="D103" s="78" t="s">
        <v>38</v>
      </c>
      <c r="E103" s="79"/>
      <c r="F103" s="79"/>
      <c r="G103" s="80"/>
      <c r="H103" s="11">
        <f>'[1]Memorial de Cálculo'!I84</f>
        <v>18</v>
      </c>
      <c r="I103" s="20" t="s">
        <v>36</v>
      </c>
      <c r="J103" s="13">
        <v>5.89</v>
      </c>
      <c r="K103" s="13">
        <v>2.99</v>
      </c>
      <c r="L103" s="14">
        <f t="shared" si="57"/>
        <v>8.879999999999999</v>
      </c>
      <c r="M103" s="15">
        <f t="shared" si="58"/>
        <v>159.84</v>
      </c>
      <c r="N103" s="16">
        <v>0.23380000000000001</v>
      </c>
      <c r="O103" s="15">
        <f t="shared" si="59"/>
        <v>130.81</v>
      </c>
      <c r="P103" s="15">
        <f t="shared" si="60"/>
        <v>66.400000000000006</v>
      </c>
      <c r="Q103" s="15">
        <f>ROUND(O103+P103,2)</f>
        <v>197.21</v>
      </c>
      <c r="R103" s="21"/>
      <c r="S103" s="21"/>
      <c r="T103" s="21"/>
      <c r="U103" s="21"/>
      <c r="V103" s="21"/>
      <c r="W103" s="21"/>
      <c r="X103" s="21"/>
      <c r="Y103" s="22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</row>
    <row r="104" spans="2:43" ht="20.25" customHeight="1" x14ac:dyDescent="0.25">
      <c r="B104" s="9" t="s">
        <v>189</v>
      </c>
      <c r="C104" s="10">
        <v>100576</v>
      </c>
      <c r="D104" s="78" t="s">
        <v>40</v>
      </c>
      <c r="E104" s="79"/>
      <c r="F104" s="79"/>
      <c r="G104" s="80"/>
      <c r="H104" s="11">
        <f>'[1]Memorial de Cálculo'!I85</f>
        <v>49</v>
      </c>
      <c r="I104" s="12" t="s">
        <v>21</v>
      </c>
      <c r="J104" s="13">
        <v>1.1599999999999999</v>
      </c>
      <c r="K104" s="13">
        <v>0.76</v>
      </c>
      <c r="L104" s="14">
        <f t="shared" si="57"/>
        <v>1.92</v>
      </c>
      <c r="M104" s="15">
        <f t="shared" si="58"/>
        <v>94.08</v>
      </c>
      <c r="N104" s="16">
        <v>0.23380000000000001</v>
      </c>
      <c r="O104" s="15">
        <f t="shared" si="59"/>
        <v>70.13</v>
      </c>
      <c r="P104" s="15">
        <f t="shared" si="60"/>
        <v>45.95</v>
      </c>
      <c r="Q104" s="15">
        <f>ROUND(O104+P104,2)</f>
        <v>116.08</v>
      </c>
      <c r="R104" s="8"/>
      <c r="S104" s="8"/>
      <c r="T104" s="8"/>
      <c r="U104" s="8"/>
      <c r="V104" s="8"/>
      <c r="W104" s="8"/>
      <c r="X104" s="8"/>
      <c r="Y104" s="1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</row>
    <row r="105" spans="2:43" ht="20.25" customHeight="1" x14ac:dyDescent="0.25">
      <c r="B105" s="81" t="s">
        <v>190</v>
      </c>
      <c r="C105" s="82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19">
        <f>SUM(O101:O104)</f>
        <v>3000.6000000000004</v>
      </c>
      <c r="P105" s="19">
        <f>SUM(P101:P104)</f>
        <v>1153.7700000000002</v>
      </c>
      <c r="Q105" s="19">
        <f>SUM(Q101:Q104)</f>
        <v>4154.37</v>
      </c>
      <c r="R105" s="18">
        <f>SUM(Q101:Q104)</f>
        <v>4154.37</v>
      </c>
      <c r="S105" s="8"/>
      <c r="T105" s="8"/>
      <c r="U105" s="8"/>
      <c r="V105" s="8"/>
      <c r="W105" s="8"/>
      <c r="X105" s="8"/>
      <c r="Y105" s="1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</row>
    <row r="106" spans="2:43" ht="39.950000000000003" customHeight="1" x14ac:dyDescent="0.25">
      <c r="B106" s="87" t="s">
        <v>191</v>
      </c>
      <c r="C106" s="88"/>
      <c r="D106" s="88"/>
      <c r="E106" s="88"/>
      <c r="F106" s="88"/>
      <c r="G106" s="88"/>
      <c r="H106" s="88"/>
      <c r="I106" s="88"/>
      <c r="J106" s="88"/>
      <c r="K106" s="88"/>
      <c r="L106" s="88"/>
      <c r="M106" s="88"/>
      <c r="N106" s="89"/>
      <c r="O106" s="39">
        <f>O13+O18+O28+O39+O43+O47+O53+O60+O70+O75+O87+O93+O105+O99</f>
        <v>1084813.1600000001</v>
      </c>
      <c r="P106" s="39">
        <f>P13+P18+P28+P39+P43+P47+P53+P60+P70+P75+P87+P93+P105+P99</f>
        <v>89163.750000000015</v>
      </c>
      <c r="Q106" s="39">
        <f>Q13+Q18+Q28+Q39+Q43+Q53+Q60+Q70+Q75+Q87+Q93+Q105+Q99+Q47</f>
        <v>1173976.9099999997</v>
      </c>
      <c r="R106" s="40">
        <f>SUM(R10:R105)</f>
        <v>1173976.9099999997</v>
      </c>
      <c r="S106" s="8"/>
      <c r="T106" s="8"/>
      <c r="U106" s="8"/>
      <c r="V106" s="8"/>
      <c r="W106" s="8"/>
      <c r="X106" s="8"/>
      <c r="Y106" s="1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</row>
    <row r="107" spans="2:43" ht="39.950000000000003" customHeight="1" x14ac:dyDescent="0.25">
      <c r="B107" s="41"/>
      <c r="C107" s="42"/>
      <c r="D107" s="42"/>
      <c r="E107" s="42"/>
      <c r="F107" s="42"/>
      <c r="G107" s="42"/>
      <c r="H107" s="43"/>
      <c r="I107" s="44"/>
      <c r="J107" s="45"/>
      <c r="K107" s="45"/>
      <c r="L107" s="45"/>
      <c r="M107" s="45"/>
      <c r="N107" s="45"/>
      <c r="O107" s="45"/>
      <c r="P107" s="45"/>
      <c r="Q107" s="45"/>
      <c r="R107" s="8"/>
      <c r="S107" s="8"/>
      <c r="T107" s="8"/>
      <c r="U107" s="8"/>
      <c r="V107" s="8"/>
      <c r="W107" s="8"/>
      <c r="X107" s="8"/>
      <c r="Y107" s="1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</row>
    <row r="108" spans="2:43" ht="20.25" customHeight="1" x14ac:dyDescent="0.25">
      <c r="B108" s="41"/>
      <c r="C108" s="90" t="s">
        <v>192</v>
      </c>
      <c r="D108" s="90"/>
      <c r="E108" s="46"/>
      <c r="F108" s="46"/>
      <c r="G108" s="46"/>
      <c r="H108" s="47"/>
      <c r="I108" s="48"/>
      <c r="J108" s="45"/>
      <c r="K108" s="45"/>
      <c r="L108" s="45"/>
      <c r="M108" s="45"/>
      <c r="N108" s="45"/>
      <c r="O108" s="45"/>
      <c r="P108" s="45"/>
      <c r="Q108" s="45"/>
      <c r="R108" s="8"/>
      <c r="S108" s="8"/>
      <c r="T108" s="8"/>
      <c r="U108" s="8"/>
      <c r="V108" s="8"/>
      <c r="W108" s="8"/>
      <c r="X108" s="8"/>
      <c r="Y108" s="1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</row>
    <row r="109" spans="2:43" ht="20.25" customHeight="1" x14ac:dyDescent="0.25">
      <c r="B109" s="41"/>
      <c r="C109" s="91" t="s">
        <v>193</v>
      </c>
      <c r="D109" s="91"/>
      <c r="E109" s="92" t="s">
        <v>194</v>
      </c>
      <c r="F109" s="92"/>
      <c r="G109" s="49"/>
      <c r="H109" s="47"/>
      <c r="I109" s="48"/>
      <c r="J109" s="45"/>
      <c r="K109" s="50"/>
      <c r="L109" s="45"/>
      <c r="M109" s="50"/>
      <c r="N109" s="50"/>
      <c r="O109" s="45"/>
      <c r="P109" s="50"/>
      <c r="Q109" s="50"/>
      <c r="R109" s="8"/>
      <c r="S109" s="8"/>
      <c r="T109" s="8"/>
      <c r="U109" s="8"/>
      <c r="V109" s="8"/>
      <c r="W109" s="8"/>
      <c r="X109" s="8"/>
      <c r="Y109" s="1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</row>
    <row r="110" spans="2:43" ht="17.25" customHeight="1" x14ac:dyDescent="0.25">
      <c r="B110" s="41"/>
      <c r="C110" s="91" t="s">
        <v>195</v>
      </c>
      <c r="D110" s="91"/>
      <c r="E110" s="92" t="s">
        <v>196</v>
      </c>
      <c r="F110" s="92"/>
      <c r="G110" s="51"/>
      <c r="H110" s="52"/>
      <c r="I110" s="48"/>
      <c r="J110" s="45"/>
      <c r="K110" s="42"/>
      <c r="L110" s="45"/>
      <c r="M110" s="42"/>
      <c r="N110" s="42"/>
      <c r="O110" s="45"/>
      <c r="P110" s="42"/>
      <c r="Q110" s="50"/>
      <c r="R110" s="8"/>
      <c r="S110" s="8"/>
      <c r="T110" s="8"/>
      <c r="U110" s="8"/>
      <c r="V110" s="8"/>
      <c r="W110" s="8"/>
      <c r="X110" s="8"/>
      <c r="Y110" s="1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</row>
    <row r="111" spans="2:43" ht="21" customHeight="1" x14ac:dyDescent="0.25">
      <c r="B111" s="41"/>
      <c r="C111" s="91" t="s">
        <v>197</v>
      </c>
      <c r="D111" s="91"/>
      <c r="E111" s="95">
        <v>1.111</v>
      </c>
      <c r="F111" s="95"/>
      <c r="G111" s="49"/>
      <c r="H111" s="43"/>
      <c r="I111" s="44"/>
      <c r="J111" s="45"/>
      <c r="K111" s="50"/>
      <c r="L111" s="45"/>
      <c r="M111" s="50"/>
      <c r="N111" s="50"/>
      <c r="O111" s="45"/>
      <c r="P111" s="50"/>
      <c r="Q111" s="50"/>
      <c r="R111" s="8"/>
      <c r="S111" s="8"/>
      <c r="T111" s="8"/>
      <c r="U111" s="8"/>
      <c r="V111" s="8"/>
      <c r="W111" s="8"/>
      <c r="X111" s="8"/>
      <c r="Y111" s="1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</row>
    <row r="112" spans="2:43" ht="20.25" customHeight="1" x14ac:dyDescent="0.25">
      <c r="B112" s="41"/>
      <c r="C112" s="91" t="s">
        <v>198</v>
      </c>
      <c r="D112" s="91"/>
      <c r="E112" s="95">
        <v>0.23380000000000001</v>
      </c>
      <c r="F112" s="95"/>
      <c r="G112" s="49"/>
      <c r="H112" s="47"/>
      <c r="I112" s="48"/>
      <c r="J112" s="45"/>
      <c r="K112" s="50"/>
      <c r="L112" s="45"/>
      <c r="M112" s="50"/>
      <c r="N112" s="50"/>
      <c r="O112" s="45"/>
      <c r="P112" s="50"/>
      <c r="Q112" s="50"/>
      <c r="R112" s="8"/>
      <c r="S112" s="8"/>
      <c r="T112" s="8"/>
      <c r="U112" s="8"/>
      <c r="V112" s="8"/>
      <c r="W112" s="8"/>
      <c r="X112" s="8"/>
      <c r="Y112" s="1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</row>
    <row r="113" spans="2:36" ht="16.5" customHeight="1" x14ac:dyDescent="0.25">
      <c r="B113" s="41"/>
      <c r="C113" s="91" t="s">
        <v>199</v>
      </c>
      <c r="D113" s="91"/>
      <c r="E113" s="90" t="s">
        <v>200</v>
      </c>
      <c r="F113" s="90"/>
      <c r="G113" s="90"/>
      <c r="H113" s="47"/>
      <c r="I113" s="48"/>
      <c r="J113" s="50"/>
      <c r="K113" s="50"/>
      <c r="L113" s="50"/>
      <c r="M113" s="50"/>
      <c r="N113" s="50"/>
      <c r="O113" s="50"/>
      <c r="P113" s="50"/>
      <c r="Q113" s="50"/>
      <c r="R113" s="2"/>
      <c r="S113" s="8"/>
      <c r="T113" s="8"/>
      <c r="U113" s="8"/>
      <c r="V113" s="8"/>
      <c r="W113" s="8"/>
      <c r="X113" s="8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</row>
    <row r="114" spans="2:36" ht="25.5" customHeight="1" x14ac:dyDescent="0.25">
      <c r="B114" s="41"/>
      <c r="C114" s="42"/>
      <c r="D114" s="42"/>
      <c r="E114" s="42"/>
      <c r="F114" s="42"/>
      <c r="G114" s="42"/>
      <c r="H114" s="43"/>
      <c r="I114" s="44"/>
      <c r="J114" s="50"/>
      <c r="K114" s="50"/>
      <c r="L114" s="50"/>
      <c r="M114" s="93" t="s">
        <v>201</v>
      </c>
      <c r="N114" s="93"/>
      <c r="O114" s="93"/>
      <c r="P114" s="93"/>
      <c r="Q114" s="93"/>
      <c r="R114" s="28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</row>
    <row r="115" spans="2:36" ht="15" customHeight="1" x14ac:dyDescent="0.25">
      <c r="B115" s="41"/>
      <c r="C115" s="42"/>
      <c r="D115" s="42"/>
      <c r="E115" s="42"/>
      <c r="F115" s="42"/>
      <c r="G115" s="42"/>
      <c r="H115" s="43"/>
      <c r="I115" s="44"/>
      <c r="J115" s="44"/>
      <c r="K115" s="44"/>
      <c r="L115" s="44"/>
      <c r="M115" s="44"/>
      <c r="N115" s="44"/>
      <c r="O115" s="44"/>
      <c r="P115" s="44"/>
      <c r="Q115" s="45"/>
      <c r="R115" s="28"/>
      <c r="S115" s="28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</row>
    <row r="116" spans="2:36" ht="15" customHeight="1" x14ac:dyDescent="0.25">
      <c r="B116" s="41"/>
      <c r="C116" s="53"/>
      <c r="D116" s="53"/>
      <c r="E116" s="53"/>
      <c r="F116" s="53"/>
      <c r="G116" s="53"/>
      <c r="H116" s="54"/>
      <c r="I116" s="55"/>
      <c r="J116" s="56"/>
      <c r="K116" s="56"/>
      <c r="L116" s="56"/>
      <c r="M116" s="56"/>
      <c r="N116" s="56"/>
      <c r="O116" s="56"/>
      <c r="P116" s="56"/>
      <c r="Q116" s="56"/>
      <c r="R116" s="28"/>
      <c r="S116" s="28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</row>
    <row r="117" spans="2:36" ht="15" customHeight="1" x14ac:dyDescent="0.25">
      <c r="B117" s="41"/>
      <c r="C117" s="94"/>
      <c r="D117" s="94"/>
      <c r="E117" s="94"/>
      <c r="F117" s="94"/>
      <c r="G117" s="94"/>
      <c r="H117" s="94"/>
      <c r="I117" s="94"/>
      <c r="J117" s="94"/>
      <c r="K117" s="94"/>
      <c r="L117" s="56"/>
      <c r="M117" s="56"/>
      <c r="N117" s="56"/>
      <c r="O117" s="56"/>
      <c r="P117" s="56"/>
      <c r="Q117" s="56"/>
      <c r="R117" s="28"/>
      <c r="S117" s="28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</row>
    <row r="118" spans="2:36" ht="15" customHeight="1" x14ac:dyDescent="0.25">
      <c r="B118" s="41"/>
      <c r="C118" s="94"/>
      <c r="D118" s="94"/>
      <c r="E118" s="94"/>
      <c r="F118" s="94"/>
      <c r="G118" s="94"/>
      <c r="H118" s="94"/>
      <c r="I118" s="94"/>
      <c r="J118" s="94"/>
      <c r="K118" s="94"/>
      <c r="L118" s="56"/>
      <c r="M118" s="56"/>
      <c r="N118" s="56"/>
      <c r="O118" s="56"/>
      <c r="P118" s="56"/>
      <c r="Q118" s="56"/>
      <c r="R118" s="28"/>
      <c r="S118" s="28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</row>
    <row r="119" spans="2:36" ht="15" customHeight="1" x14ac:dyDescent="0.25">
      <c r="B119" s="57"/>
      <c r="C119" s="2"/>
      <c r="D119" s="2"/>
      <c r="E119" s="2"/>
      <c r="F119" s="2"/>
      <c r="G119" s="2"/>
      <c r="I119" s="5"/>
      <c r="J119" s="59"/>
      <c r="K119" s="59"/>
      <c r="L119" s="59"/>
      <c r="M119" s="59"/>
      <c r="N119" s="59"/>
      <c r="O119" s="59"/>
      <c r="P119" s="59"/>
      <c r="Q119" s="59"/>
      <c r="R119" s="2"/>
      <c r="S119" s="28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</row>
    <row r="120" spans="2:36" ht="18.75" customHeight="1" x14ac:dyDescent="0.25"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</row>
    <row r="121" spans="2:36" ht="15" customHeight="1" x14ac:dyDescent="0.25"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</row>
    <row r="122" spans="2:36" ht="15" customHeight="1" x14ac:dyDescent="0.25">
      <c r="R122" s="2"/>
      <c r="S122" s="2"/>
      <c r="T122" s="2"/>
      <c r="U122" s="2"/>
      <c r="V122" s="2"/>
      <c r="W122" s="2"/>
      <c r="X122" s="2"/>
      <c r="Y122" s="2" t="s">
        <v>202</v>
      </c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</row>
    <row r="123" spans="2:36" ht="15" customHeight="1" x14ac:dyDescent="0.25"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</row>
    <row r="124" spans="2:36" ht="15" customHeight="1" x14ac:dyDescent="0.25"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</row>
    <row r="125" spans="2:36" ht="15" customHeight="1" x14ac:dyDescent="0.25"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</row>
    <row r="126" spans="2:36" ht="15" customHeight="1" x14ac:dyDescent="0.25"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</row>
    <row r="127" spans="2:36" ht="15" customHeight="1" x14ac:dyDescent="0.25"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</row>
    <row r="128" spans="2:36" ht="15" customHeight="1" x14ac:dyDescent="0.25"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</row>
    <row r="129" spans="18:36" ht="15" customHeight="1" x14ac:dyDescent="0.25"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</row>
    <row r="130" spans="18:36" ht="15" customHeight="1" x14ac:dyDescent="0.25"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</row>
    <row r="131" spans="18:36" ht="15" customHeight="1" x14ac:dyDescent="0.25"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</row>
    <row r="132" spans="18:36" ht="15" customHeight="1" x14ac:dyDescent="0.25"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</row>
    <row r="133" spans="18:36" ht="15" customHeight="1" x14ac:dyDescent="0.25"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</row>
    <row r="134" spans="18:36" ht="15" customHeight="1" x14ac:dyDescent="0.25"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</row>
    <row r="135" spans="18:36" ht="15" customHeight="1" x14ac:dyDescent="0.25"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</row>
    <row r="136" spans="18:36" ht="15" customHeight="1" x14ac:dyDescent="0.25"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</row>
    <row r="137" spans="18:36" ht="15" customHeight="1" x14ac:dyDescent="0.25"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</row>
    <row r="138" spans="18:36" ht="15" customHeight="1" x14ac:dyDescent="0.25"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</row>
    <row r="139" spans="18:36" ht="15" customHeight="1" x14ac:dyDescent="0.25"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</row>
    <row r="140" spans="18:36" ht="15" customHeight="1" x14ac:dyDescent="0.25"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</row>
    <row r="141" spans="18:36" ht="15" customHeight="1" x14ac:dyDescent="0.25"/>
    <row r="142" spans="18:36" ht="15" customHeight="1" x14ac:dyDescent="0.25"/>
    <row r="143" spans="18:36" ht="15" customHeight="1" x14ac:dyDescent="0.25"/>
    <row r="144" spans="18:36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</sheetData>
  <mergeCells count="118">
    <mergeCell ref="C113:D113"/>
    <mergeCell ref="E113:G113"/>
    <mergeCell ref="M114:Q114"/>
    <mergeCell ref="C117:K117"/>
    <mergeCell ref="C118:K118"/>
    <mergeCell ref="C110:D110"/>
    <mergeCell ref="E110:F110"/>
    <mergeCell ref="C111:D111"/>
    <mergeCell ref="E111:F111"/>
    <mergeCell ref="C112:D112"/>
    <mergeCell ref="E112:F112"/>
    <mergeCell ref="D103:G103"/>
    <mergeCell ref="D104:G104"/>
    <mergeCell ref="B105:N105"/>
    <mergeCell ref="B106:N106"/>
    <mergeCell ref="C108:D108"/>
    <mergeCell ref="C109:D109"/>
    <mergeCell ref="E109:F109"/>
    <mergeCell ref="D96:G96"/>
    <mergeCell ref="D97:G97"/>
    <mergeCell ref="D98:G98"/>
    <mergeCell ref="B99:N99"/>
    <mergeCell ref="D101:G101"/>
    <mergeCell ref="D102:G102"/>
    <mergeCell ref="D89:G89"/>
    <mergeCell ref="D90:G90"/>
    <mergeCell ref="D91:G91"/>
    <mergeCell ref="D92:G92"/>
    <mergeCell ref="B93:N93"/>
    <mergeCell ref="D95:G95"/>
    <mergeCell ref="D82:G82"/>
    <mergeCell ref="D83:G83"/>
    <mergeCell ref="D84:G84"/>
    <mergeCell ref="D85:G85"/>
    <mergeCell ref="D86:G86"/>
    <mergeCell ref="B87:N87"/>
    <mergeCell ref="B75:N75"/>
    <mergeCell ref="D77:G77"/>
    <mergeCell ref="D78:G78"/>
    <mergeCell ref="D79:G79"/>
    <mergeCell ref="D80:G80"/>
    <mergeCell ref="D81:G81"/>
    <mergeCell ref="D68:G68"/>
    <mergeCell ref="D69:G69"/>
    <mergeCell ref="B70:N70"/>
    <mergeCell ref="D72:G72"/>
    <mergeCell ref="D73:G73"/>
    <mergeCell ref="D74:G74"/>
    <mergeCell ref="D62:G62"/>
    <mergeCell ref="D63:G63"/>
    <mergeCell ref="D64:G64"/>
    <mergeCell ref="D65:G65"/>
    <mergeCell ref="D66:G66"/>
    <mergeCell ref="D67:G67"/>
    <mergeCell ref="D55:G55"/>
    <mergeCell ref="D56:G56"/>
    <mergeCell ref="D57:G57"/>
    <mergeCell ref="D58:G58"/>
    <mergeCell ref="D59:G59"/>
    <mergeCell ref="B60:N60"/>
    <mergeCell ref="B47:N47"/>
    <mergeCell ref="D49:G49"/>
    <mergeCell ref="D50:G50"/>
    <mergeCell ref="D51:G51"/>
    <mergeCell ref="D52:G52"/>
    <mergeCell ref="B53:N53"/>
    <mergeCell ref="C40:Q40"/>
    <mergeCell ref="D41:G41"/>
    <mergeCell ref="D42:G42"/>
    <mergeCell ref="B43:N43"/>
    <mergeCell ref="B44:Q44"/>
    <mergeCell ref="D46:G46"/>
    <mergeCell ref="D34:G34"/>
    <mergeCell ref="D35:G35"/>
    <mergeCell ref="D36:G36"/>
    <mergeCell ref="D37:G37"/>
    <mergeCell ref="D38:G38"/>
    <mergeCell ref="B39:N39"/>
    <mergeCell ref="B28:N28"/>
    <mergeCell ref="C29:Q29"/>
    <mergeCell ref="D30:G30"/>
    <mergeCell ref="D31:G31"/>
    <mergeCell ref="D32:G32"/>
    <mergeCell ref="D33:G33"/>
    <mergeCell ref="D22:G22"/>
    <mergeCell ref="D23:G23"/>
    <mergeCell ref="D24:G24"/>
    <mergeCell ref="D25:G25"/>
    <mergeCell ref="D26:G26"/>
    <mergeCell ref="D27:G27"/>
    <mergeCell ref="D16:G16"/>
    <mergeCell ref="D17:G17"/>
    <mergeCell ref="B18:N18"/>
    <mergeCell ref="C19:Q19"/>
    <mergeCell ref="D20:G20"/>
    <mergeCell ref="D21:G21"/>
    <mergeCell ref="D10:G10"/>
    <mergeCell ref="D11:G11"/>
    <mergeCell ref="D12:G12"/>
    <mergeCell ref="B13:N13"/>
    <mergeCell ref="C14:Q14"/>
    <mergeCell ref="D15:G15"/>
    <mergeCell ref="J6:L6"/>
    <mergeCell ref="M6:M7"/>
    <mergeCell ref="N6:N7"/>
    <mergeCell ref="O6:Q6"/>
    <mergeCell ref="C8:Q8"/>
    <mergeCell ref="D9:G9"/>
    <mergeCell ref="B1:Q1"/>
    <mergeCell ref="B2:Q2"/>
    <mergeCell ref="B3:Q3"/>
    <mergeCell ref="B4:Q4"/>
    <mergeCell ref="B5:Q5"/>
    <mergeCell ref="B6:B7"/>
    <mergeCell ref="C6:C7"/>
    <mergeCell ref="D6:G7"/>
    <mergeCell ref="H6:H7"/>
    <mergeCell ref="I6:I7"/>
  </mergeCells>
  <pageMargins left="0.7" right="0.7" top="0.75" bottom="0.75" header="0.3" footer="0.3"/>
  <pageSetup paperSize="9" scale="5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MATERIAL + MÃO DE OBRA</vt:lpstr>
      <vt:lpstr>'MATERIAL + MÃO DE OBRA'!Area_de_impressao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 Orvana Guimarães Wiebbelling</dc:creator>
  <cp:lastModifiedBy>Cristiane Oliveira</cp:lastModifiedBy>
  <dcterms:created xsi:type="dcterms:W3CDTF">2021-10-26T12:35:21Z</dcterms:created>
  <dcterms:modified xsi:type="dcterms:W3CDTF">2021-10-26T13:49:54Z</dcterms:modified>
</cp:coreProperties>
</file>