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z-Renata\Planilha de custos\Micro onibus\Memorando 4.448.2026\"/>
    </mc:Choice>
  </mc:AlternateContent>
  <bookViews>
    <workbookView xWindow="0" yWindow="0" windowWidth="24000" windowHeight="9735"/>
  </bookViews>
  <sheets>
    <sheet name="VEICULO 1.0" sheetId="113" r:id="rId1"/>
    <sheet name="mão de obra" sheetId="134" r:id="rId2"/>
    <sheet name="Referências" sheetId="133" r:id="rId3"/>
  </sheets>
  <definedNames>
    <definedName name="_xlnm.Print_Area" localSheetId="0">'VEICULO 1.0'!$A$1:$E$41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34" l="1"/>
  <c r="E12" i="113" l="1"/>
  <c r="G20" i="113"/>
  <c r="G10" i="113"/>
  <c r="D28" i="134"/>
  <c r="C31" i="133" l="1"/>
  <c r="G11" i="113"/>
  <c r="E11" i="113" s="1"/>
  <c r="I18" i="113" l="1"/>
  <c r="C24" i="133" l="1"/>
  <c r="E44" i="113" l="1"/>
  <c r="E17" i="113" l="1"/>
  <c r="E19" i="113"/>
  <c r="C97" i="134"/>
  <c r="B83" i="134"/>
  <c r="B78" i="134"/>
  <c r="B70" i="134"/>
  <c r="B60" i="134"/>
  <c r="B85" i="134" s="1"/>
  <c r="D37" i="134"/>
  <c r="E37" i="134" s="1"/>
  <c r="D36" i="134"/>
  <c r="E36" i="134" s="1"/>
  <c r="D27" i="134"/>
  <c r="E18" i="113" s="1"/>
  <c r="D31" i="134" l="1"/>
  <c r="B13" i="134" s="1"/>
  <c r="D38" i="134"/>
  <c r="E38" i="134" s="1"/>
  <c r="B14" i="134" l="1"/>
  <c r="E20" i="113"/>
  <c r="D40" i="134"/>
  <c r="D45" i="134" l="1"/>
  <c r="B15" i="134" l="1"/>
  <c r="E21" i="113"/>
  <c r="E22" i="113" s="1"/>
  <c r="B16" i="134"/>
  <c r="D47" i="134"/>
  <c r="D14" i="134" l="1"/>
  <c r="D13" i="134"/>
  <c r="D15" i="134"/>
  <c r="D16" i="134" l="1"/>
  <c r="I13" i="113" l="1"/>
  <c r="C20" i="133"/>
  <c r="E10" i="113"/>
  <c r="F13" i="113" l="1"/>
  <c r="E13" i="113" s="1"/>
  <c r="D7" i="133" l="1"/>
  <c r="E3" i="113" s="1"/>
  <c r="E6" i="113" s="1"/>
  <c r="E5" i="113" l="1"/>
  <c r="I16" i="113" l="1"/>
  <c r="E14" i="113" s="1"/>
  <c r="I6" i="113" l="1"/>
  <c r="I7" i="113" l="1"/>
  <c r="G13" i="113"/>
  <c r="E15" i="113" s="1"/>
  <c r="E7" i="113"/>
  <c r="G26" i="113" l="1"/>
  <c r="E8" i="113"/>
  <c r="E9" i="113" s="1"/>
  <c r="E16" i="113" s="1"/>
  <c r="E25" i="113" l="1"/>
  <c r="E26" i="113" s="1"/>
  <c r="G16" i="113"/>
  <c r="G17" i="113" s="1"/>
  <c r="G18" i="113" l="1"/>
  <c r="G19" i="113" s="1"/>
  <c r="G21" i="113" s="1"/>
  <c r="G27" i="113"/>
  <c r="G28" i="113" s="1"/>
  <c r="G29" i="113" s="1"/>
  <c r="E24" i="113" s="1"/>
  <c r="E27" i="113" s="1"/>
  <c r="D35" i="113" l="1"/>
  <c r="E23" i="113" l="1"/>
  <c r="E28" i="113"/>
  <c r="E29" i="113" s="1"/>
  <c r="D34" i="113"/>
  <c r="D36" i="113" s="1"/>
  <c r="D37" i="113" s="1"/>
</calcChain>
</file>

<file path=xl/sharedStrings.xml><?xml version="1.0" encoding="utf-8"?>
<sst xmlns="http://schemas.openxmlformats.org/spreadsheetml/2006/main" count="233" uniqueCount="203">
  <si>
    <t>A</t>
  </si>
  <si>
    <t>B</t>
  </si>
  <si>
    <t>C</t>
  </si>
  <si>
    <t>D</t>
  </si>
  <si>
    <t>Valor (R$)</t>
  </si>
  <si>
    <t>INSS</t>
  </si>
  <si>
    <t>INCRA</t>
  </si>
  <si>
    <t>Salário Educação</t>
  </si>
  <si>
    <t>FGTS</t>
  </si>
  <si>
    <t>SEBRAE</t>
  </si>
  <si>
    <t>TOTAL</t>
  </si>
  <si>
    <t>Lucro</t>
  </si>
  <si>
    <t>ITEM</t>
  </si>
  <si>
    <t>DISCRIMINAÇÃO</t>
  </si>
  <si>
    <t xml:space="preserve"> VALOR MENSAL </t>
  </si>
  <si>
    <t>VEÍCULO DE USO COMUM</t>
  </si>
  <si>
    <t>CUSTOS FIXOS</t>
  </si>
  <si>
    <t>DEPRECIAÇÃO</t>
  </si>
  <si>
    <t>LICENCIAMENTO e IPVA</t>
  </si>
  <si>
    <t>SEGURO OBRIGATÓRIO</t>
  </si>
  <si>
    <t>SUBTOTAL (CUSTOS FIXOS)</t>
  </si>
  <si>
    <t>MANUTENÇÃO (peças, lubrificantes, mão de obra, etc.).</t>
  </si>
  <si>
    <t>PNEUS / CÂMARA e Alinhamento/balanceamento</t>
  </si>
  <si>
    <t xml:space="preserve">COMBUSTÍVEL </t>
  </si>
  <si>
    <t>SUBTOTAL (CUSTOS VARIÁVEIS)</t>
  </si>
  <si>
    <t>CUSTO TOTAL DO VEÍCULO</t>
  </si>
  <si>
    <t>MOTORISTA</t>
  </si>
  <si>
    <t>SALÁRIO (44 horas por semana)</t>
  </si>
  <si>
    <t>ENCARGOS SOCIAIS</t>
  </si>
  <si>
    <t>CUSTO TOTAL DO MOTORISTA</t>
  </si>
  <si>
    <t>VALOR DO KM</t>
  </si>
  <si>
    <t>CUSTO TOTAL DO VEÍCULO E MOTORISTA</t>
  </si>
  <si>
    <t>LUCRO</t>
  </si>
  <si>
    <t>DESPESAS ADMINISTRATIVAS/OPERACIONAIS</t>
  </si>
  <si>
    <t>VALOR DO QUILOMETRO RODADO</t>
  </si>
  <si>
    <t>VALOR TOTAL POR VEÍCULO</t>
  </si>
  <si>
    <t>VALOR TOTAL VEÍCULO + MOTORISTA</t>
  </si>
  <si>
    <t>IMPOSTOS (PIS COFINS 3,65% e ISS 5%)</t>
  </si>
  <si>
    <t>Cálculo Imposto</t>
  </si>
  <si>
    <r>
      <t>SEGURO TOTAL</t>
    </r>
    <r>
      <rPr>
        <sz val="8"/>
        <color theme="1"/>
        <rFont val="Times New Roman"/>
        <family val="1"/>
      </rPr>
      <t xml:space="preserve"> (VEICULO, TERCEIROS E PASSAGEIROS)</t>
    </r>
  </si>
  <si>
    <t>Valor Global da Proposta</t>
  </si>
  <si>
    <t>DESCRIÇÃO</t>
  </si>
  <si>
    <t>Total</t>
  </si>
  <si>
    <t>Aviso Prévio Indenizado</t>
  </si>
  <si>
    <t>Aviso Prévio Trabalhado</t>
  </si>
  <si>
    <t>VALOR TOTAL POR EMPREGADO</t>
  </si>
  <si>
    <t>CUSTO MENSAL BÁSICO DO VEÍCULO</t>
  </si>
  <si>
    <t>VALOR MENSAL(VALOR TOTAL POR EMPREGADO X Nº EMPREGADOS)+(INSUMOS DIVERSOS AFETOS AO VEÍCULO X nº DE VEÍCULOS)</t>
  </si>
  <si>
    <t>PLANILHA DE CUSTO</t>
  </si>
  <si>
    <t>TX Depreciação</t>
  </si>
  <si>
    <t>TX IPVA</t>
  </si>
  <si>
    <t>Licenciamento</t>
  </si>
  <si>
    <t>Seguro Total</t>
  </si>
  <si>
    <t>Seguro Obrigatório</t>
  </si>
  <si>
    <t>Manutenção</t>
  </si>
  <si>
    <t>Pneu</t>
  </si>
  <si>
    <t>Tx Desp.Operac.</t>
  </si>
  <si>
    <t>BDI</t>
  </si>
  <si>
    <t>INSUMOS DIVERSOS</t>
  </si>
  <si>
    <t>Desp.Operacional</t>
  </si>
  <si>
    <t>Custo Veículo</t>
  </si>
  <si>
    <t>Valor BDI</t>
  </si>
  <si>
    <t>Valor total</t>
  </si>
  <si>
    <t>Sub-total</t>
  </si>
  <si>
    <t>MEMÓRIA DE CÁLCULO</t>
  </si>
  <si>
    <t>km total</t>
  </si>
  <si>
    <t>km mês</t>
  </si>
  <si>
    <t>VALOR QUILOMETRO RODADO POR VEÍCULO</t>
  </si>
  <si>
    <t>km por carro (1)</t>
  </si>
  <si>
    <t>Pedágios</t>
  </si>
  <si>
    <t>OUTROS (pedágios/Custo Inspeção/Imantado)</t>
  </si>
  <si>
    <t>Item</t>
  </si>
  <si>
    <t>Unid.</t>
  </si>
  <si>
    <t>Valor</t>
  </si>
  <si>
    <t>Fonte Internet</t>
  </si>
  <si>
    <t>Valor de Aquisição</t>
  </si>
  <si>
    <t>Un</t>
  </si>
  <si>
    <t>Média Valor de aquisição</t>
  </si>
  <si>
    <t>Taxas/Valores</t>
  </si>
  <si>
    <t>Fontes</t>
  </si>
  <si>
    <t>Depreciação</t>
  </si>
  <si>
    <t>IPVA</t>
  </si>
  <si>
    <t>https://ibeta.tec.br/transporte-coletivo/depreciacao-no-custo-do-sistema-de-transporte-coletivo-impacto-na-tarifa-conforme-a-metodologia-adotada/#:~:text=Segundo%20essa%20instru%C3%A7%C3%A3o%2C%20a%20taxa,para%20fins%20de%20deprecia%C3%A7%C3%A3o%20cont%C3%A1bil.</t>
  </si>
  <si>
    <t>https://www.detran.rs.gov.br/comeca-processo-de-licenciamento-anual-da-frota-gaucha</t>
  </si>
  <si>
    <t>Pneus</t>
  </si>
  <si>
    <t>Câmaras</t>
  </si>
  <si>
    <t>Consumo p/km</t>
  </si>
  <si>
    <t>Km Rodados</t>
  </si>
  <si>
    <t>Valor L</t>
  </si>
  <si>
    <t>Qtde</t>
  </si>
  <si>
    <t>Média Consumo por L</t>
  </si>
  <si>
    <t>Quantidade UPF</t>
  </si>
  <si>
    <t>https://www.detran.rs.gov.br/veiculos/servicos/626</t>
  </si>
  <si>
    <t>5=1+2+3+4</t>
  </si>
  <si>
    <t>CUSTOS VARIÁVEIS</t>
  </si>
  <si>
    <t>Salário</t>
  </si>
  <si>
    <t xml:space="preserve">Veículo tipo Micro-ônibus com motorista, ano de fabricação não inferior a 2018, capacidade mínima de 24 ocupantes, deve ser equipado com ar condicionado e com todos os itens obrigatórios por lei, conforme código Brasileiro de Trânsito.
</t>
  </si>
  <si>
    <t>Óleo diesel s10</t>
  </si>
  <si>
    <t>ANP</t>
  </si>
  <si>
    <t>MÉDIA SEMANA 17/05/2026 A 23/05/2026</t>
  </si>
  <si>
    <t>Laudos Inspeção</t>
  </si>
  <si>
    <t>Calça</t>
  </si>
  <si>
    <t>Síntese dos custos</t>
  </si>
  <si>
    <t>Custo (R$/mês)</t>
  </si>
  <si>
    <t>%</t>
  </si>
  <si>
    <t>1. Mão de Obra</t>
  </si>
  <si>
    <t>3. BDI</t>
  </si>
  <si>
    <t>Custo Mensal (220h)</t>
  </si>
  <si>
    <t>Síntese de quantitativos</t>
  </si>
  <si>
    <t>Mão-de-obra</t>
  </si>
  <si>
    <t>Quantidade</t>
  </si>
  <si>
    <t>1. Mão-de-obra</t>
  </si>
  <si>
    <t>Discriminação</t>
  </si>
  <si>
    <t>Unidade</t>
  </si>
  <si>
    <t>Preço unitário</t>
  </si>
  <si>
    <t>Salário Normal</t>
  </si>
  <si>
    <t>mês</t>
  </si>
  <si>
    <t>Encargos Sociais</t>
  </si>
  <si>
    <t>Auxílio Alimentação</t>
  </si>
  <si>
    <t>Vale transporte</t>
  </si>
  <si>
    <t>un</t>
  </si>
  <si>
    <t>Total do Efetivo</t>
  </si>
  <si>
    <t>Preço Total/ano</t>
  </si>
  <si>
    <t>Preço/mês</t>
  </si>
  <si>
    <t>preço médio unitário</t>
  </si>
  <si>
    <t>vida útil</t>
  </si>
  <si>
    <t>unidade</t>
  </si>
  <si>
    <t>Custo Anual com EPI's</t>
  </si>
  <si>
    <t>Custo mensal com as despesas operacionais</t>
  </si>
  <si>
    <t>3. Benefícios e Despesas Indiretas - BDI</t>
  </si>
  <si>
    <t>Benefícios e despesas indiretas</t>
  </si>
  <si>
    <t>Custo mensal total</t>
  </si>
  <si>
    <t>Grupo A</t>
  </si>
  <si>
    <t>SESI</t>
  </si>
  <si>
    <t>SENAI</t>
  </si>
  <si>
    <t>Seguro Conta Acidente</t>
  </si>
  <si>
    <t>Grupo B</t>
  </si>
  <si>
    <t>Auxílio Enfermidade</t>
  </si>
  <si>
    <t>13º Salário</t>
  </si>
  <si>
    <t>Licença Paternidade</t>
  </si>
  <si>
    <t>Faltas Justificadas</t>
  </si>
  <si>
    <t>Auxílio Acidente de Trabalho</t>
  </si>
  <si>
    <t>Férias Gozadas</t>
  </si>
  <si>
    <t>Salário Maternidade</t>
  </si>
  <si>
    <t>Grupo C</t>
  </si>
  <si>
    <t xml:space="preserve">Férias indenizadas </t>
  </si>
  <si>
    <t>Depósito Rescisão sem Justa Causa</t>
  </si>
  <si>
    <t>Indenização Adicional</t>
  </si>
  <si>
    <t>Incidência cumulativa</t>
  </si>
  <si>
    <t>Grupo A sobre Grupo B</t>
  </si>
  <si>
    <t>Grupo A e FGTS sobre Aviso Prévio</t>
  </si>
  <si>
    <t>Total Encargos Sociais</t>
  </si>
  <si>
    <t>Composição do BDI - Benefícios e Despesas Indiretas</t>
  </si>
  <si>
    <t>Administração Central</t>
  </si>
  <si>
    <t>AC</t>
  </si>
  <si>
    <t>Seguros/Riscos/Garantias</t>
  </si>
  <si>
    <t>SRG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</si>
  <si>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</si>
  <si>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</si>
  <si>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</si>
  <si>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</si>
  <si>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</si>
  <si>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</si>
  <si>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</si>
  <si>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</si>
  <si>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</si>
  <si>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Cesta básica</t>
  </si>
  <si>
    <t>Camisa</t>
  </si>
  <si>
    <t>2. Unifome</t>
  </si>
  <si>
    <t>BENEFÍCIOS</t>
  </si>
  <si>
    <t>Imposto</t>
  </si>
  <si>
    <t>Planilha de Composição de Custos (Motorista de Micro - ônibus)</t>
  </si>
  <si>
    <t>2. Uniforme</t>
  </si>
  <si>
    <t>Motorista Micro - ônibus</t>
  </si>
  <si>
    <t xml:space="preserve"> Profissionais da CCT considerada: SINDIRODOSUL -Turismo e Fretamento – 2025-2026 – Data-base 1º de junho (Registrada ). Trabalhadores em Transportes
Rodoviários, Intermunicipais, Interestaduais, Turismo e Fretamento/ RS004425/2025</t>
  </si>
  <si>
    <t>https://sindirodosul.org.br/wp-content/uploads/2025/10/CONVENCAO-TURISMO-E-FRETAMENTO-2025.2026REGISTRADA.pdf</t>
  </si>
  <si>
    <t>Encargos sociais</t>
  </si>
  <si>
    <t>TABELA SINAPI</t>
  </si>
  <si>
    <t>MICRO E VAN</t>
  </si>
  <si>
    <t>QTDE</t>
  </si>
  <si>
    <t>VLR. MÍNIMO KM RODADO / DAER</t>
  </si>
  <si>
    <t>VALOR MÉDIO BASEADO EM VEÍCULO MICRO-ÔNIBUS NÃO INFERIOR A 2018</t>
  </si>
  <si>
    <t xml:space="preserve">MICRO-ÔNIBUS </t>
  </si>
  <si>
    <t>Lavagem completa</t>
  </si>
  <si>
    <t xml:space="preserve">LAVAGEM </t>
  </si>
  <si>
    <t>11=6+7+8+9+10</t>
  </si>
  <si>
    <t>DATA 11/07/2026</t>
  </si>
  <si>
    <t>Laudo de inspeção</t>
  </si>
  <si>
    <t>https://inspetecrs.com.br/</t>
  </si>
  <si>
    <t>12=5+11</t>
  </si>
  <si>
    <t>18=13+14+15+16+17</t>
  </si>
  <si>
    <t>19=12+18</t>
  </si>
  <si>
    <t>23=12+20+21+22</t>
  </si>
  <si>
    <t>25=24/12500</t>
  </si>
  <si>
    <t>balanceamento</t>
  </si>
  <si>
    <t>https://velseg.com.br/seguro-dear-rs-de-responsabilidade-civil-para-onibus-e-van-10x-parcelado/</t>
  </si>
  <si>
    <t>Lavagem (48)</t>
  </si>
  <si>
    <t>UPF-RS 2026</t>
  </si>
  <si>
    <t>Arla</t>
  </si>
  <si>
    <r>
      <t xml:space="preserve">O consumo médio de Arla 32 é de </t>
    </r>
    <r>
      <rPr>
        <b/>
        <sz val="12"/>
        <color theme="1"/>
        <rFont val="Arial"/>
        <family val="2"/>
      </rPr>
      <t>1 litro para cada 20 litros de diesel</t>
    </r>
    <r>
      <rPr>
        <sz val="11"/>
        <color theme="1"/>
        <rFont val="Calibri"/>
        <family val="2"/>
        <scheme val="minor"/>
      </rPr>
      <t xml:space="preserve"> consumidos, o que representa cerca de </t>
    </r>
    <r>
      <rPr>
        <b/>
        <sz val="12"/>
        <color theme="1"/>
        <rFont val="Arial"/>
        <family val="2"/>
      </rPr>
      <t>5%</t>
    </r>
    <r>
      <rPr>
        <sz val="11"/>
        <color theme="1"/>
        <rFont val="Calibri"/>
        <family val="2"/>
        <scheme val="minor"/>
      </rPr>
      <t xml:space="preserve"> do volume total de combustível.</t>
    </r>
  </si>
  <si>
    <t>TOTAL ARLA P 12.500 KM</t>
  </si>
  <si>
    <t>https://www.daer.rs.gov.br/upload/arquivos/202601/12111221-os-01-2026-valor-multas.pdf</t>
  </si>
  <si>
    <t>Média de 1,00 REAL por KM rodados no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</si>
</sst>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#,##0.00_ ;\-#,##0.00\ "/>
    <numFmt numFmtId="166" formatCode="&quot;R$&quot;\ #,##0.00"/>
    <numFmt numFmtId="167" formatCode="#,##0.0000000"/>
    <numFmt numFmtId="168" formatCode="0.0000"/>
    <numFmt numFmtId="169" formatCode="_(* #,##0.00_);_(* \(#,##0.00\);_(* \-??_);_(@_)"/>
    <numFmt numFmtId="170" formatCode="&quot;R$ &quot;#,##0.00"/>
    <numFmt numFmtId="171" formatCode="&quot;R$ &quot;#,##0.00_);\(&quot;R$ &quot;#,##0.00\)"/>
    <numFmt numFmtId="172" formatCode="#,##0.0000_ ;\-#,##0.0000\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i/>
      <sz val="11"/>
      <color theme="1"/>
      <name val="Times New Roman"/>
      <family val="1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3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2" fillId="0" borderId="0"/>
    <xf numFmtId="164" fontId="12" fillId="0" borderId="0" applyFill="0" applyBorder="0" applyAlignment="0" applyProtection="0"/>
    <xf numFmtId="9" fontId="12" fillId="0" borderId="0" applyFill="0" applyBorder="0" applyAlignment="0" applyProtection="0"/>
    <xf numFmtId="169" fontId="12" fillId="0" borderId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2" fillId="0" borderId="0"/>
    <xf numFmtId="0" fontId="12" fillId="0" borderId="0"/>
  </cellStyleXfs>
  <cellXfs count="252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wrapText="1"/>
    </xf>
    <xf numFmtId="44" fontId="6" fillId="0" borderId="1" xfId="1" applyFont="1" applyBorder="1" applyAlignment="1">
      <alignment vertical="center"/>
    </xf>
    <xf numFmtId="44" fontId="2" fillId="0" borderId="0" xfId="0" applyNumberFormat="1" applyFont="1"/>
    <xf numFmtId="44" fontId="2" fillId="0" borderId="0" xfId="1" applyFont="1"/>
    <xf numFmtId="9" fontId="2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10" fontId="0" fillId="0" borderId="1" xfId="0" applyNumberFormat="1" applyBorder="1"/>
    <xf numFmtId="0" fontId="0" fillId="0" borderId="2" xfId="0" applyBorder="1"/>
    <xf numFmtId="0" fontId="0" fillId="0" borderId="12" xfId="0" applyBorder="1"/>
    <xf numFmtId="0" fontId="0" fillId="0" borderId="16" xfId="0" applyBorder="1"/>
    <xf numFmtId="0" fontId="0" fillId="0" borderId="11" xfId="0" applyBorder="1"/>
    <xf numFmtId="0" fontId="0" fillId="0" borderId="19" xfId="0" applyBorder="1"/>
    <xf numFmtId="4" fontId="0" fillId="0" borderId="20" xfId="0" applyNumberFormat="1" applyBorder="1"/>
    <xf numFmtId="4" fontId="0" fillId="0" borderId="18" xfId="0" applyNumberFormat="1" applyBorder="1"/>
    <xf numFmtId="3" fontId="0" fillId="0" borderId="15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44" fontId="2" fillId="0" borderId="23" xfId="1" applyFont="1" applyBorder="1"/>
    <xf numFmtId="0" fontId="0" fillId="0" borderId="20" xfId="0" applyBorder="1"/>
    <xf numFmtId="4" fontId="0" fillId="0" borderId="1" xfId="0" applyNumberFormat="1" applyBorder="1"/>
    <xf numFmtId="0" fontId="11" fillId="0" borderId="19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166" fontId="11" fillId="0" borderId="1" xfId="2" applyNumberFormat="1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2" fontId="12" fillId="0" borderId="1" xfId="2" applyNumberFormat="1" applyFont="1" applyBorder="1" applyAlignment="1">
      <alignment horizontal="center" vertical="center"/>
    </xf>
    <xf numFmtId="166" fontId="12" fillId="0" borderId="1" xfId="2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2" fontId="12" fillId="0" borderId="17" xfId="2" applyNumberFormat="1" applyFont="1" applyBorder="1" applyAlignment="1">
      <alignment vertical="center"/>
    </xf>
    <xf numFmtId="166" fontId="11" fillId="5" borderId="17" xfId="2" applyNumberFormat="1" applyFont="1" applyFill="1" applyBorder="1" applyAlignment="1">
      <alignment horizontal="center" vertical="center"/>
    </xf>
    <xf numFmtId="2" fontId="12" fillId="0" borderId="18" xfId="2" applyNumberFormat="1" applyFont="1" applyBorder="1" applyAlignment="1">
      <alignment vertical="center"/>
    </xf>
    <xf numFmtId="3" fontId="0" fillId="0" borderId="30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10" fontId="0" fillId="0" borderId="15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5" borderId="20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" fontId="0" fillId="5" borderId="17" xfId="0" applyNumberFormat="1" applyFill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7" fontId="0" fillId="0" borderId="32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/>
    <xf numFmtId="0" fontId="0" fillId="0" borderId="9" xfId="0" applyBorder="1"/>
    <xf numFmtId="0" fontId="0" fillId="0" borderId="3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0" xfId="0" applyBorder="1"/>
    <xf numFmtId="168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4" xfId="0" applyBorder="1"/>
    <xf numFmtId="0" fontId="0" fillId="0" borderId="31" xfId="0" applyBorder="1"/>
    <xf numFmtId="44" fontId="5" fillId="0" borderId="20" xfId="1" applyFont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44" fontId="6" fillId="0" borderId="20" xfId="1" applyFont="1" applyBorder="1" applyAlignment="1">
      <alignment vertical="center"/>
    </xf>
    <xf numFmtId="44" fontId="6" fillId="4" borderId="20" xfId="1" applyFont="1" applyFill="1" applyBorder="1" applyAlignment="1">
      <alignment vertical="center"/>
    </xf>
    <xf numFmtId="44" fontId="6" fillId="0" borderId="20" xfId="1" applyFont="1" applyFill="1" applyBorder="1" applyAlignment="1">
      <alignment vertical="center"/>
    </xf>
    <xf numFmtId="165" fontId="6" fillId="2" borderId="20" xfId="1" applyNumberFormat="1" applyFont="1" applyFill="1" applyBorder="1" applyAlignment="1">
      <alignment vertical="center"/>
    </xf>
    <xf numFmtId="165" fontId="6" fillId="4" borderId="20" xfId="1" applyNumberFormat="1" applyFont="1" applyFill="1" applyBorder="1" applyAlignment="1">
      <alignment vertical="center"/>
    </xf>
    <xf numFmtId="0" fontId="2" fillId="0" borderId="22" xfId="0" applyFont="1" applyBorder="1"/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44" fontId="6" fillId="0" borderId="0" xfId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44" fontId="6" fillId="0" borderId="3" xfId="1" applyFont="1" applyBorder="1" applyAlignment="1">
      <alignment vertical="center"/>
    </xf>
    <xf numFmtId="44" fontId="5" fillId="5" borderId="1" xfId="1" applyFont="1" applyFill="1" applyBorder="1" applyAlignment="1">
      <alignment vertical="center"/>
    </xf>
    <xf numFmtId="0" fontId="16" fillId="0" borderId="20" xfId="3" applyFont="1" applyBorder="1" applyAlignment="1">
      <alignment horizontal="left" vertical="center"/>
    </xf>
    <xf numFmtId="3" fontId="0" fillId="0" borderId="0" xfId="0" applyNumberForma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9" fillId="6" borderId="13" xfId="0" applyFont="1" applyFill="1" applyBorder="1" applyAlignment="1">
      <alignment horizontal="center"/>
    </xf>
    <xf numFmtId="0" fontId="0" fillId="0" borderId="37" xfId="0" applyBorder="1"/>
    <xf numFmtId="0" fontId="0" fillId="0" borderId="38" xfId="0" applyBorder="1"/>
    <xf numFmtId="44" fontId="0" fillId="0" borderId="1" xfId="1" applyFont="1" applyBorder="1" applyAlignment="1"/>
    <xf numFmtId="44" fontId="0" fillId="0" borderId="1" xfId="1" applyFont="1" applyBorder="1" applyAlignment="1">
      <alignment horizontal="left"/>
    </xf>
    <xf numFmtId="44" fontId="0" fillId="5" borderId="1" xfId="1" applyFont="1" applyFill="1" applyBorder="1" applyAlignment="1">
      <alignment horizontal="left"/>
    </xf>
    <xf numFmtId="44" fontId="13" fillId="0" borderId="1" xfId="1" applyFont="1" applyBorder="1" applyAlignment="1"/>
    <xf numFmtId="0" fontId="10" fillId="0" borderId="0" xfId="2" applyAlignment="1">
      <alignment vertical="center"/>
    </xf>
    <xf numFmtId="4" fontId="10" fillId="0" borderId="0" xfId="2" applyNumberFormat="1" applyAlignment="1">
      <alignment vertical="center"/>
    </xf>
    <xf numFmtId="43" fontId="0" fillId="0" borderId="0" xfId="11" applyFont="1" applyAlignment="1">
      <alignment vertical="center"/>
    </xf>
    <xf numFmtId="0" fontId="18" fillId="0" borderId="0" xfId="2" applyFont="1" applyAlignment="1">
      <alignment vertical="center"/>
    </xf>
    <xf numFmtId="43" fontId="0" fillId="0" borderId="0" xfId="11" applyFont="1" applyFill="1" applyAlignment="1">
      <alignment vertical="center"/>
    </xf>
    <xf numFmtId="43" fontId="17" fillId="0" borderId="0" xfId="11" applyFont="1" applyAlignment="1">
      <alignment vertical="center"/>
    </xf>
    <xf numFmtId="14" fontId="11" fillId="0" borderId="0" xfId="11" applyNumberFormat="1" applyFont="1" applyAlignment="1">
      <alignment vertical="center"/>
    </xf>
    <xf numFmtId="43" fontId="11" fillId="0" borderId="27" xfId="11" applyFont="1" applyBorder="1" applyAlignment="1">
      <alignment horizontal="center" vertical="center"/>
    </xf>
    <xf numFmtId="43" fontId="11" fillId="0" borderId="15" xfId="11" applyFont="1" applyBorder="1" applyAlignment="1">
      <alignment horizontal="center" vertical="center"/>
    </xf>
    <xf numFmtId="43" fontId="12" fillId="0" borderId="40" xfId="11" applyFont="1" applyBorder="1" applyAlignment="1">
      <alignment vertical="center"/>
    </xf>
    <xf numFmtId="10" fontId="0" fillId="0" borderId="38" xfId="6" applyNumberFormat="1" applyFont="1" applyBorder="1" applyAlignment="1">
      <alignment vertical="center"/>
    </xf>
    <xf numFmtId="43" fontId="19" fillId="0" borderId="43" xfId="11" applyFont="1" applyBorder="1" applyAlignment="1">
      <alignment vertical="center"/>
    </xf>
    <xf numFmtId="43" fontId="11" fillId="0" borderId="5" xfId="11" applyFont="1" applyBorder="1" applyAlignment="1">
      <alignment vertical="center"/>
    </xf>
    <xf numFmtId="10" fontId="11" fillId="0" borderId="6" xfId="6" applyNumberFormat="1" applyFont="1" applyBorder="1" applyAlignment="1">
      <alignment vertical="center"/>
    </xf>
    <xf numFmtId="0" fontId="12" fillId="0" borderId="0" xfId="2" applyFont="1" applyAlignment="1">
      <alignment vertical="center"/>
    </xf>
    <xf numFmtId="43" fontId="12" fillId="0" borderId="0" xfId="11" applyFont="1" applyAlignment="1">
      <alignment vertical="center"/>
    </xf>
    <xf numFmtId="43" fontId="11" fillId="0" borderId="15" xfId="11" applyFont="1" applyBorder="1" applyAlignment="1">
      <alignment horizontal="right" vertical="center"/>
    </xf>
    <xf numFmtId="1" fontId="12" fillId="0" borderId="18" xfId="11" applyNumberFormat="1" applyFont="1" applyBorder="1" applyAlignment="1">
      <alignment horizontal="center" vertical="center"/>
    </xf>
    <xf numFmtId="43" fontId="12" fillId="0" borderId="0" xfId="11" applyFont="1" applyBorder="1" applyAlignment="1">
      <alignment vertical="center"/>
    </xf>
    <xf numFmtId="0" fontId="11" fillId="0" borderId="0" xfId="2" applyFont="1" applyAlignment="1">
      <alignment vertical="center"/>
    </xf>
    <xf numFmtId="0" fontId="20" fillId="7" borderId="13" xfId="2" applyFont="1" applyFill="1" applyBorder="1" applyAlignment="1">
      <alignment horizontal="center" vertical="center"/>
    </xf>
    <xf numFmtId="0" fontId="20" fillId="7" borderId="14" xfId="2" applyFont="1" applyFill="1" applyBorder="1" applyAlignment="1">
      <alignment horizontal="center" vertical="center"/>
    </xf>
    <xf numFmtId="43" fontId="20" fillId="7" borderId="15" xfId="11" applyFont="1" applyFill="1" applyBorder="1" applyAlignment="1">
      <alignment horizontal="center" vertical="center"/>
    </xf>
    <xf numFmtId="0" fontId="12" fillId="0" borderId="19" xfId="2" applyFont="1" applyBorder="1" applyAlignment="1">
      <alignment vertical="center"/>
    </xf>
    <xf numFmtId="0" fontId="12" fillId="0" borderId="1" xfId="2" applyFont="1" applyBorder="1" applyAlignment="1">
      <alignment horizontal="center" vertical="center"/>
    </xf>
    <xf numFmtId="43" fontId="12" fillId="0" borderId="20" xfId="11" applyFont="1" applyFill="1" applyBorder="1" applyAlignment="1">
      <alignment horizontal="center" vertical="center"/>
    </xf>
    <xf numFmtId="10" fontId="12" fillId="0" borderId="1" xfId="2" applyNumberFormat="1" applyFont="1" applyBorder="1" applyAlignment="1">
      <alignment horizontal="center" vertical="center"/>
    </xf>
    <xf numFmtId="0" fontId="12" fillId="0" borderId="35" xfId="2" applyFont="1" applyBorder="1" applyAlignment="1">
      <alignment vertical="center"/>
    </xf>
    <xf numFmtId="0" fontId="12" fillId="0" borderId="3" xfId="2" applyFont="1" applyBorder="1" applyAlignment="1">
      <alignment horizontal="center" vertical="center"/>
    </xf>
    <xf numFmtId="43" fontId="12" fillId="0" borderId="26" xfId="11" applyFont="1" applyFill="1" applyBorder="1" applyAlignment="1">
      <alignment horizontal="center" vertical="center"/>
    </xf>
    <xf numFmtId="43" fontId="11" fillId="7" borderId="18" xfId="11" applyFont="1" applyFill="1" applyBorder="1" applyAlignment="1">
      <alignment horizontal="center" vertical="center"/>
    </xf>
    <xf numFmtId="43" fontId="12" fillId="0" borderId="20" xfId="11" applyFont="1" applyBorder="1" applyAlignment="1">
      <alignment horizontal="center" vertical="center"/>
    </xf>
    <xf numFmtId="43" fontId="12" fillId="0" borderId="37" xfId="11" applyFont="1" applyBorder="1" applyAlignment="1">
      <alignment horizontal="center" vertical="center"/>
    </xf>
    <xf numFmtId="44" fontId="12" fillId="0" borderId="1" xfId="1" applyFont="1" applyBorder="1" applyAlignment="1">
      <alignment vertical="center"/>
    </xf>
    <xf numFmtId="0" fontId="10" fillId="0" borderId="35" xfId="2" applyBorder="1" applyAlignment="1">
      <alignment vertical="center"/>
    </xf>
    <xf numFmtId="43" fontId="11" fillId="7" borderId="18" xfId="11" applyFont="1" applyFill="1" applyBorder="1" applyAlignment="1">
      <alignment vertical="center"/>
    </xf>
    <xf numFmtId="44" fontId="12" fillId="0" borderId="0" xfId="1" applyFont="1" applyAlignment="1">
      <alignment vertical="center"/>
    </xf>
    <xf numFmtId="0" fontId="11" fillId="0" borderId="5" xfId="2" applyFont="1" applyBorder="1" applyAlignment="1">
      <alignment vertical="center"/>
    </xf>
    <xf numFmtId="0" fontId="11" fillId="0" borderId="7" xfId="2" applyFont="1" applyBorder="1" applyAlignment="1">
      <alignment vertical="center"/>
    </xf>
    <xf numFmtId="43" fontId="11" fillId="7" borderId="4" xfId="11" applyFont="1" applyFill="1" applyBorder="1" applyAlignment="1">
      <alignment vertical="center"/>
    </xf>
    <xf numFmtId="0" fontId="12" fillId="0" borderId="16" xfId="2" applyFont="1" applyBorder="1" applyAlignment="1">
      <alignment vertical="center"/>
    </xf>
    <xf numFmtId="0" fontId="12" fillId="0" borderId="17" xfId="2" applyFont="1" applyBorder="1" applyAlignment="1">
      <alignment horizontal="center" vertical="center"/>
    </xf>
    <xf numFmtId="0" fontId="21" fillId="0" borderId="0" xfId="2" applyFont="1" applyAlignment="1">
      <alignment vertical="center"/>
    </xf>
    <xf numFmtId="43" fontId="21" fillId="0" borderId="0" xfId="11" applyFont="1" applyBorder="1" applyAlignment="1">
      <alignment vertical="center"/>
    </xf>
    <xf numFmtId="43" fontId="21" fillId="0" borderId="0" xfId="11" applyFont="1" applyAlignment="1">
      <alignment vertical="center"/>
    </xf>
    <xf numFmtId="43" fontId="11" fillId="0" borderId="0" xfId="11" applyFont="1" applyBorder="1" applyAlignment="1">
      <alignment vertical="center"/>
    </xf>
    <xf numFmtId="10" fontId="11" fillId="0" borderId="0" xfId="6" applyNumberFormat="1" applyFont="1" applyBorder="1" applyAlignment="1">
      <alignment vertical="center"/>
    </xf>
    <xf numFmtId="43" fontId="11" fillId="0" borderId="0" xfId="11" applyFont="1" applyAlignment="1">
      <alignment vertical="center"/>
    </xf>
    <xf numFmtId="43" fontId="22" fillId="0" borderId="0" xfId="11" applyFont="1" applyBorder="1" applyAlignment="1">
      <alignment vertical="center"/>
    </xf>
    <xf numFmtId="9" fontId="22" fillId="0" borderId="0" xfId="6" applyFont="1" applyBorder="1" applyAlignment="1">
      <alignment vertical="center"/>
    </xf>
    <xf numFmtId="43" fontId="22" fillId="0" borderId="0" xfId="11" applyFont="1" applyAlignment="1">
      <alignment vertical="center"/>
    </xf>
    <xf numFmtId="0" fontId="22" fillId="0" borderId="0" xfId="2" applyFont="1" applyAlignment="1">
      <alignment vertical="center"/>
    </xf>
    <xf numFmtId="43" fontId="12" fillId="0" borderId="1" xfId="11" applyFont="1" applyBorder="1" applyAlignment="1">
      <alignment vertical="center"/>
    </xf>
    <xf numFmtId="10" fontId="12" fillId="0" borderId="1" xfId="6" applyNumberFormat="1" applyBorder="1" applyAlignment="1">
      <alignment vertical="center"/>
    </xf>
    <xf numFmtId="43" fontId="11" fillId="0" borderId="1" xfId="11" applyFont="1" applyBorder="1" applyAlignment="1">
      <alignment vertical="center"/>
    </xf>
    <xf numFmtId="10" fontId="11" fillId="0" borderId="1" xfId="6" applyNumberFormat="1" applyFont="1" applyBorder="1" applyAlignment="1">
      <alignment vertical="center"/>
    </xf>
    <xf numFmtId="10" fontId="22" fillId="0" borderId="0" xfId="6" applyNumberFormat="1" applyFont="1" applyBorder="1" applyAlignment="1">
      <alignment vertical="center"/>
    </xf>
    <xf numFmtId="43" fontId="0" fillId="0" borderId="0" xfId="11" applyFont="1" applyBorder="1" applyAlignment="1">
      <alignment vertical="center"/>
    </xf>
    <xf numFmtId="0" fontId="10" fillId="0" borderId="0" xfId="2"/>
    <xf numFmtId="0" fontId="11" fillId="0" borderId="0" xfId="2" applyFont="1" applyAlignment="1">
      <alignment horizontal="left" vertical="center"/>
    </xf>
    <xf numFmtId="0" fontId="12" fillId="0" borderId="13" xfId="2" applyFont="1" applyBorder="1" applyAlignment="1">
      <alignment horizontal="left" vertical="center"/>
    </xf>
    <xf numFmtId="0" fontId="12" fillId="0" borderId="14" xfId="2" applyFont="1" applyBorder="1" applyAlignment="1">
      <alignment horizontal="center" vertical="center"/>
    </xf>
    <xf numFmtId="10" fontId="12" fillId="0" borderId="15" xfId="2" applyNumberFormat="1" applyFont="1" applyBorder="1" applyAlignment="1">
      <alignment horizontal="center" vertical="center"/>
    </xf>
    <xf numFmtId="0" fontId="12" fillId="0" borderId="19" xfId="2" applyFont="1" applyBorder="1" applyAlignment="1">
      <alignment horizontal="left" vertical="center"/>
    </xf>
    <xf numFmtId="10" fontId="12" fillId="0" borderId="20" xfId="2" applyNumberFormat="1" applyFont="1" applyBorder="1" applyAlignment="1">
      <alignment horizontal="center" vertical="center"/>
    </xf>
    <xf numFmtId="43" fontId="23" fillId="0" borderId="0" xfId="11" applyFont="1" applyAlignment="1">
      <alignment vertical="center"/>
    </xf>
    <xf numFmtId="0" fontId="12" fillId="8" borderId="19" xfId="2" applyFont="1" applyFill="1" applyBorder="1" applyAlignment="1">
      <alignment horizontal="left" vertical="center"/>
    </xf>
    <xf numFmtId="0" fontId="12" fillId="0" borderId="16" xfId="2" applyFont="1" applyBorder="1" applyAlignment="1">
      <alignment horizontal="left" vertical="center"/>
    </xf>
    <xf numFmtId="10" fontId="12" fillId="0" borderId="18" xfId="2" applyNumberFormat="1" applyFont="1" applyBorder="1" applyAlignment="1">
      <alignment horizontal="center" vertical="center"/>
    </xf>
    <xf numFmtId="0" fontId="12" fillId="0" borderId="47" xfId="2" applyFont="1" applyBorder="1" applyAlignment="1">
      <alignment vertical="center"/>
    </xf>
    <xf numFmtId="0" fontId="12" fillId="0" borderId="8" xfId="2" applyFont="1" applyBorder="1" applyAlignment="1">
      <alignment vertical="center"/>
    </xf>
    <xf numFmtId="10" fontId="12" fillId="0" borderId="48" xfId="2" applyNumberFormat="1" applyFont="1" applyBorder="1" applyAlignment="1">
      <alignment vertical="center"/>
    </xf>
    <xf numFmtId="0" fontId="12" fillId="0" borderId="24" xfId="2" applyFont="1" applyBorder="1" applyAlignment="1">
      <alignment horizontal="left" vertical="center"/>
    </xf>
    <xf numFmtId="0" fontId="12" fillId="0" borderId="25" xfId="2" applyFont="1" applyBorder="1" applyAlignment="1">
      <alignment horizontal="left" vertical="center"/>
    </xf>
    <xf numFmtId="0" fontId="12" fillId="0" borderId="9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0" fontId="12" fillId="0" borderId="7" xfId="2" applyFont="1" applyBorder="1" applyAlignment="1">
      <alignment vertical="center"/>
    </xf>
    <xf numFmtId="10" fontId="11" fillId="0" borderId="6" xfId="2" applyNumberFormat="1" applyFont="1" applyBorder="1" applyAlignment="1">
      <alignment horizontal="center" vertical="center" wrapText="1"/>
    </xf>
    <xf numFmtId="0" fontId="13" fillId="0" borderId="1" xfId="3" applyBorder="1" applyAlignment="1"/>
    <xf numFmtId="0" fontId="0" fillId="0" borderId="49" xfId="0" applyBorder="1"/>
    <xf numFmtId="0" fontId="3" fillId="0" borderId="47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172" fontId="24" fillId="0" borderId="48" xfId="1" applyNumberFormat="1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172" fontId="2" fillId="0" borderId="23" xfId="1" applyNumberFormat="1" applyFont="1" applyBorder="1"/>
    <xf numFmtId="0" fontId="4" fillId="0" borderId="22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4" fillId="0" borderId="25" xfId="0" applyFont="1" applyBorder="1" applyAlignment="1">
      <alignment horizontal="right"/>
    </xf>
    <xf numFmtId="44" fontId="2" fillId="5" borderId="4" xfId="1" applyFont="1" applyFill="1" applyBorder="1"/>
    <xf numFmtId="0" fontId="0" fillId="0" borderId="23" xfId="0" applyBorder="1"/>
    <xf numFmtId="0" fontId="0" fillId="0" borderId="33" xfId="0" applyBorder="1"/>
    <xf numFmtId="44" fontId="0" fillId="0" borderId="1" xfId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13" fillId="0" borderId="1" xfId="3" applyBorder="1" applyAlignment="1">
      <alignment horizontal="left"/>
    </xf>
    <xf numFmtId="44" fontId="13" fillId="0" borderId="1" xfId="1" applyFont="1" applyBorder="1" applyAlignment="1">
      <alignment horizontal="left"/>
    </xf>
    <xf numFmtId="44" fontId="6" fillId="0" borderId="37" xfId="1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13" fillId="0" borderId="20" xfId="3" applyBorder="1" applyAlignment="1">
      <alignment horizontal="left" vertical="center"/>
    </xf>
    <xf numFmtId="44" fontId="25" fillId="0" borderId="1" xfId="1" applyFont="1" applyBorder="1" applyAlignment="1"/>
    <xf numFmtId="44" fontId="26" fillId="0" borderId="1" xfId="1" applyFont="1" applyBorder="1" applyAlignment="1"/>
    <xf numFmtId="0" fontId="27" fillId="0" borderId="0" xfId="0" applyFont="1"/>
    <xf numFmtId="44" fontId="25" fillId="5" borderId="1" xfId="1" applyFont="1" applyFill="1" applyBorder="1" applyAlignment="1"/>
    <xf numFmtId="0" fontId="29" fillId="0" borderId="0" xfId="0" applyFont="1"/>
    <xf numFmtId="0" fontId="15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9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12" fillId="0" borderId="1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171" fontId="11" fillId="0" borderId="44" xfId="2" applyNumberFormat="1" applyFont="1" applyBorder="1" applyAlignment="1">
      <alignment horizontal="right" vertical="center"/>
    </xf>
    <xf numFmtId="171" fontId="11" fillId="0" borderId="45" xfId="2" applyNumberFormat="1" applyFont="1" applyBorder="1" applyAlignment="1">
      <alignment horizontal="right" vertical="center"/>
    </xf>
    <xf numFmtId="43" fontId="11" fillId="0" borderId="27" xfId="11" applyFont="1" applyBorder="1" applyAlignment="1">
      <alignment horizontal="left" vertical="center"/>
    </xf>
    <xf numFmtId="43" fontId="11" fillId="0" borderId="28" xfId="11" applyFont="1" applyBorder="1" applyAlignment="1">
      <alignment horizontal="left" vertical="center"/>
    </xf>
    <xf numFmtId="43" fontId="11" fillId="0" borderId="30" xfId="11" applyFont="1" applyBorder="1" applyAlignment="1">
      <alignment horizontal="left" vertical="center"/>
    </xf>
    <xf numFmtId="43" fontId="12" fillId="0" borderId="43" xfId="11" applyFont="1" applyBorder="1" applyAlignment="1">
      <alignment horizontal="left" vertical="center"/>
    </xf>
    <xf numFmtId="43" fontId="12" fillId="0" borderId="46" xfId="11" applyFont="1" applyBorder="1" applyAlignment="1">
      <alignment horizontal="left" vertical="center"/>
    </xf>
    <xf numFmtId="43" fontId="12" fillId="0" borderId="31" xfId="11" applyFont="1" applyBorder="1" applyAlignment="1">
      <alignment horizontal="left" vertical="center"/>
    </xf>
    <xf numFmtId="0" fontId="12" fillId="0" borderId="16" xfId="2" applyFont="1" applyBorder="1" applyAlignment="1">
      <alignment horizontal="left" vertical="center"/>
    </xf>
    <xf numFmtId="0" fontId="12" fillId="0" borderId="17" xfId="2" applyFont="1" applyBorder="1" applyAlignment="1">
      <alignment horizontal="left" vertical="center"/>
    </xf>
    <xf numFmtId="170" fontId="10" fillId="0" borderId="41" xfId="2" applyNumberFormat="1" applyBorder="1" applyAlignment="1">
      <alignment horizontal="right" vertical="center"/>
    </xf>
    <xf numFmtId="170" fontId="10" fillId="0" borderId="42" xfId="2" applyNumberFormat="1" applyBorder="1" applyAlignment="1">
      <alignment horizontal="right" vertical="center"/>
    </xf>
    <xf numFmtId="0" fontId="17" fillId="0" borderId="39" xfId="2" applyFont="1" applyBorder="1" applyAlignment="1">
      <alignment horizontal="center" vertical="center"/>
    </xf>
    <xf numFmtId="0" fontId="10" fillId="0" borderId="0" xfId="2" applyAlignment="1">
      <alignment horizontal="center" vertical="center" wrapText="1"/>
    </xf>
    <xf numFmtId="43" fontId="11" fillId="0" borderId="14" xfId="11" applyFont="1" applyBorder="1" applyAlignment="1">
      <alignment horizontal="center" vertical="center"/>
    </xf>
    <xf numFmtId="0" fontId="11" fillId="6" borderId="27" xfId="2" applyFont="1" applyFill="1" applyBorder="1" applyAlignment="1">
      <alignment horizontal="center" vertical="center"/>
    </xf>
    <xf numFmtId="0" fontId="11" fillId="6" borderId="28" xfId="2" applyFont="1" applyFill="1" applyBorder="1" applyAlignment="1">
      <alignment horizontal="center" vertical="center"/>
    </xf>
    <xf numFmtId="0" fontId="11" fillId="6" borderId="29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1" fillId="6" borderId="14" xfId="2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 vertical="center"/>
    </xf>
    <xf numFmtId="0" fontId="13" fillId="0" borderId="1" xfId="3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13" fillId="0" borderId="1" xfId="3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13" fillId="0" borderId="37" xfId="3" applyBorder="1" applyAlignment="1">
      <alignment horizontal="left" wrapText="1"/>
    </xf>
    <xf numFmtId="0" fontId="13" fillId="0" borderId="38" xfId="3" applyBorder="1" applyAlignment="1">
      <alignment horizontal="left" wrapText="1"/>
    </xf>
  </cellXfs>
  <cellStyles count="14">
    <cellStyle name="Hiperlink" xfId="3" builtinId="8"/>
    <cellStyle name="Moeda" xfId="1" builtinId="4"/>
    <cellStyle name="Moeda 2" xfId="5"/>
    <cellStyle name="Normal" xfId="0" builtinId="0"/>
    <cellStyle name="Normal 2" xfId="2"/>
    <cellStyle name="Normal 2 2" xfId="13"/>
    <cellStyle name="Normal 3" xfId="4"/>
    <cellStyle name="Normal 3 2" xfId="8"/>
    <cellStyle name="Normal 6" xfId="12"/>
    <cellStyle name="Porcentagem 2" xfId="6"/>
    <cellStyle name="Vírgula 2" xfId="11"/>
    <cellStyle name="Vírgula 2 2" xfId="9"/>
    <cellStyle name="Vírgula 3" xfId="10"/>
    <cellStyle name="Vírgula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2095922</xdr:colOff>
      <xdr:row>41</xdr:row>
      <xdr:rowOff>0</xdr:rowOff>
    </xdr:from>
    <xdr:to>
      <xdr:col>2</xdr:col>
      <xdr:colOff>2962</xdr:colOff>
      <xdr:row>45</xdr:row>
      <xdr:rowOff>98370</xdr:rowOff>
    </xdr:to>
    <xdr:pic>
      <xdr:nvPicPr>
        <xdr:cNvPr id="4" name="Imagem 3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905547" y="25201312"/>
          <a:ext cx="1083310" cy="8769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41</xdr:row>
      <xdr:rowOff>0</xdr:rowOff>
    </xdr:from>
    <xdr:to>
      <xdr:col>2</xdr:col>
      <xdr:colOff>2962</xdr:colOff>
      <xdr:row>45</xdr:row>
      <xdr:rowOff>117420</xdr:rowOff>
    </xdr:to>
    <xdr:pic>
      <xdr:nvPicPr>
        <xdr:cNvPr id="3" name="Imagem 2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8884987"/>
          <a:ext cx="2540" cy="8794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41</xdr:row>
      <xdr:rowOff>0</xdr:rowOff>
    </xdr:from>
    <xdr:to>
      <xdr:col>2</xdr:col>
      <xdr:colOff>2962</xdr:colOff>
      <xdr:row>45</xdr:row>
      <xdr:rowOff>98369</xdr:rowOff>
    </xdr:to>
    <xdr:pic>
      <xdr:nvPicPr>
        <xdr:cNvPr id="5" name="Imagem 4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8884987"/>
          <a:ext cx="2540" cy="8794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41</xdr:row>
      <xdr:rowOff>0</xdr:rowOff>
    </xdr:from>
    <xdr:to>
      <xdr:col>2</xdr:col>
      <xdr:colOff>2962</xdr:colOff>
      <xdr:row>45</xdr:row>
      <xdr:rowOff>117419</xdr:rowOff>
    </xdr:to>
    <xdr:pic>
      <xdr:nvPicPr>
        <xdr:cNvPr id="6" name="Imagem 5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75487"/>
          <a:ext cx="2540" cy="8984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41</xdr:row>
      <xdr:rowOff>0</xdr:rowOff>
    </xdr:from>
    <xdr:to>
      <xdr:col>2</xdr:col>
      <xdr:colOff>2962</xdr:colOff>
      <xdr:row>45</xdr:row>
      <xdr:rowOff>136469</xdr:rowOff>
    </xdr:to>
    <xdr:pic>
      <xdr:nvPicPr>
        <xdr:cNvPr id="7" name="Imagem 6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8884987"/>
          <a:ext cx="2540" cy="9175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40</xdr:row>
      <xdr:rowOff>0</xdr:rowOff>
    </xdr:from>
    <xdr:to>
      <xdr:col>2</xdr:col>
      <xdr:colOff>2962</xdr:colOff>
      <xdr:row>44</xdr:row>
      <xdr:rowOff>107895</xdr:rowOff>
    </xdr:to>
    <xdr:pic>
      <xdr:nvPicPr>
        <xdr:cNvPr id="8" name="Imagem 7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67800"/>
          <a:ext cx="2540" cy="8794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40</xdr:row>
      <xdr:rowOff>0</xdr:rowOff>
    </xdr:from>
    <xdr:to>
      <xdr:col>2</xdr:col>
      <xdr:colOff>2962</xdr:colOff>
      <xdr:row>44</xdr:row>
      <xdr:rowOff>126945</xdr:rowOff>
    </xdr:to>
    <xdr:pic>
      <xdr:nvPicPr>
        <xdr:cNvPr id="9" name="Imagem 8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67800"/>
          <a:ext cx="2540" cy="8984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40</xdr:row>
      <xdr:rowOff>0</xdr:rowOff>
    </xdr:from>
    <xdr:to>
      <xdr:col>2</xdr:col>
      <xdr:colOff>2962</xdr:colOff>
      <xdr:row>44</xdr:row>
      <xdr:rowOff>107894</xdr:rowOff>
    </xdr:to>
    <xdr:pic>
      <xdr:nvPicPr>
        <xdr:cNvPr id="10" name="Imagem 9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67800"/>
          <a:ext cx="2540" cy="8794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40</xdr:row>
      <xdr:rowOff>0</xdr:rowOff>
    </xdr:from>
    <xdr:to>
      <xdr:col>2</xdr:col>
      <xdr:colOff>2962</xdr:colOff>
      <xdr:row>44</xdr:row>
      <xdr:rowOff>126944</xdr:rowOff>
    </xdr:to>
    <xdr:pic>
      <xdr:nvPicPr>
        <xdr:cNvPr id="11" name="Imagem 10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67800"/>
          <a:ext cx="2540" cy="8984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2095922</xdr:colOff>
      <xdr:row>40</xdr:row>
      <xdr:rowOff>0</xdr:rowOff>
    </xdr:from>
    <xdr:to>
      <xdr:col>2</xdr:col>
      <xdr:colOff>2962</xdr:colOff>
      <xdr:row>44</xdr:row>
      <xdr:rowOff>145994</xdr:rowOff>
    </xdr:to>
    <xdr:pic>
      <xdr:nvPicPr>
        <xdr:cNvPr id="12" name="Imagem 11" descr="Z:\COMERCIAL\LICITAÇÕES\2016\PORTOS\Assinatura Artur.jp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97" t="8476" r="38035" b="79801"/>
        <a:stretch/>
      </xdr:blipFill>
      <xdr:spPr bwMode="auto">
        <a:xfrm>
          <a:off x="2419772" y="9067800"/>
          <a:ext cx="2540" cy="9175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velseg.com.br/seguro-dear-rs-de-responsabilidade-civil-para-onibus-e-van-10x-parcelado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detran.rs.gov.br/veiculos/servicos/626" TargetMode="External"/><Relationship Id="rId1" Type="http://schemas.openxmlformats.org/officeDocument/2006/relationships/hyperlink" Target="https://www.tabelafipeconsulta.com.br/marcopolo/volare/2008/" TargetMode="External"/><Relationship Id="rId6" Type="http://schemas.openxmlformats.org/officeDocument/2006/relationships/hyperlink" Target="https://inspetecrs.com.br/" TargetMode="External"/><Relationship Id="rId5" Type="http://schemas.openxmlformats.org/officeDocument/2006/relationships/hyperlink" Target="https://www.detran.rs.gov.br/comeca-processo-de-licenciamento-anual-da-frota-gaucha" TargetMode="External"/><Relationship Id="rId4" Type="http://schemas.openxmlformats.org/officeDocument/2006/relationships/hyperlink" Target="https://www.detran.rs.gov.br/veiculos/servicos/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BD51"/>
  <sheetViews>
    <sheetView tabSelected="1" view="pageBreakPreview" topLeftCell="A10" zoomScaleNormal="100" zoomScaleSheetLayoutView="100" workbookViewId="0">
      <selection activeCell="M30" sqref="M30"/>
    </sheetView>
  </sheetViews>
  <sheetFormatPr defaultColWidth="9.140625" defaultRowHeight="15" x14ac:dyDescent="0.25"/>
  <cols>
    <col min="1" max="1" width="5.28515625" style="1" bestFit="1" customWidth="1"/>
    <col min="2" max="2" width="31" style="1" customWidth="1"/>
    <col min="3" max="3" width="16.42578125" style="1" bestFit="1" customWidth="1"/>
    <col min="4" max="4" width="45.140625" style="1" bestFit="1" customWidth="1"/>
    <col min="5" max="5" width="15.5703125" style="1" bestFit="1" customWidth="1"/>
    <col min="6" max="6" width="19.42578125" customWidth="1"/>
    <col min="7" max="7" width="13.140625" customWidth="1"/>
    <col min="8" max="8" width="20.28515625" bestFit="1" customWidth="1"/>
    <col min="9" max="9" width="11.7109375" customWidth="1"/>
    <col min="10" max="10" width="15.85546875" bestFit="1" customWidth="1"/>
    <col min="11" max="11" width="9.28515625" bestFit="1" customWidth="1"/>
    <col min="12" max="56" width="8.7109375" customWidth="1"/>
    <col min="57" max="16384" width="9.140625" style="1"/>
  </cols>
  <sheetData>
    <row r="1" spans="1:56" x14ac:dyDescent="0.25">
      <c r="A1" s="203" t="s">
        <v>48</v>
      </c>
      <c r="B1" s="204"/>
      <c r="C1" s="204"/>
      <c r="D1" s="204"/>
      <c r="E1" s="205"/>
      <c r="F1" t="s">
        <v>186</v>
      </c>
    </row>
    <row r="2" spans="1:56" s="4" customFormat="1" ht="66.75" customHeight="1" x14ac:dyDescent="0.25">
      <c r="A2" s="206" t="s">
        <v>96</v>
      </c>
      <c r="B2" s="207"/>
      <c r="C2" s="207"/>
      <c r="D2" s="207"/>
      <c r="E2" s="208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 ht="15.75" thickBot="1" x14ac:dyDescent="0.3">
      <c r="A3" s="209" t="s">
        <v>181</v>
      </c>
      <c r="B3" s="210"/>
      <c r="C3" s="210"/>
      <c r="D3" s="210"/>
      <c r="E3" s="59">
        <f>Referências!D7</f>
        <v>0</v>
      </c>
      <c r="G3" t="s">
        <v>64</v>
      </c>
    </row>
    <row r="4" spans="1:56" ht="15.75" thickBot="1" x14ac:dyDescent="0.3">
      <c r="A4" s="60" t="s">
        <v>12</v>
      </c>
      <c r="B4" s="211" t="s">
        <v>13</v>
      </c>
      <c r="C4" s="211"/>
      <c r="D4" s="211"/>
      <c r="E4" s="61" t="s">
        <v>14</v>
      </c>
      <c r="F4" s="52" t="s">
        <v>49</v>
      </c>
      <c r="G4" s="38">
        <v>0.2</v>
      </c>
      <c r="H4" s="12"/>
      <c r="I4" s="10"/>
    </row>
    <row r="5" spans="1:56" ht="15" customHeight="1" x14ac:dyDescent="0.25">
      <c r="A5" s="216" t="s">
        <v>15</v>
      </c>
      <c r="B5" s="217" t="s">
        <v>16</v>
      </c>
      <c r="C5" s="2">
        <v>1</v>
      </c>
      <c r="D5" s="3" t="s">
        <v>17</v>
      </c>
      <c r="E5" s="62">
        <f>E3*G4/12</f>
        <v>0</v>
      </c>
      <c r="F5" s="53" t="s">
        <v>50</v>
      </c>
      <c r="G5" s="39">
        <v>0.01</v>
      </c>
      <c r="H5" s="35" t="s">
        <v>65</v>
      </c>
      <c r="I5" s="19">
        <v>150000</v>
      </c>
    </row>
    <row r="6" spans="1:56" x14ac:dyDescent="0.25">
      <c r="A6" s="216"/>
      <c r="B6" s="217"/>
      <c r="C6" s="2">
        <v>2</v>
      </c>
      <c r="D6" s="3" t="s">
        <v>18</v>
      </c>
      <c r="E6" s="62">
        <f>(E3*G5)/12+G6/12</f>
        <v>0</v>
      </c>
      <c r="F6" s="53" t="s">
        <v>51</v>
      </c>
      <c r="G6" s="40">
        <v>0</v>
      </c>
      <c r="H6" s="36" t="s">
        <v>66</v>
      </c>
      <c r="I6" s="20">
        <f>I5/12</f>
        <v>12500</v>
      </c>
    </row>
    <row r="7" spans="1:56" ht="15.75" thickBot="1" x14ac:dyDescent="0.3">
      <c r="A7" s="216"/>
      <c r="B7" s="217"/>
      <c r="C7" s="2">
        <v>3</v>
      </c>
      <c r="D7" s="3" t="s">
        <v>19</v>
      </c>
      <c r="E7" s="62">
        <f>G8/12</f>
        <v>0</v>
      </c>
      <c r="F7" s="53" t="s">
        <v>52</v>
      </c>
      <c r="G7" s="41">
        <v>0</v>
      </c>
      <c r="H7" s="37" t="s">
        <v>68</v>
      </c>
      <c r="I7" s="21">
        <f>I6/1</f>
        <v>12500</v>
      </c>
    </row>
    <row r="8" spans="1:56" x14ac:dyDescent="0.25">
      <c r="A8" s="216"/>
      <c r="B8" s="217"/>
      <c r="C8" s="2">
        <v>4</v>
      </c>
      <c r="D8" s="3" t="s">
        <v>39</v>
      </c>
      <c r="E8" s="62">
        <f>G7/12</f>
        <v>0</v>
      </c>
      <c r="F8" s="53" t="s">
        <v>53</v>
      </c>
      <c r="G8" s="40">
        <v>0</v>
      </c>
      <c r="H8" s="75"/>
      <c r="I8" s="75"/>
    </row>
    <row r="9" spans="1:56" x14ac:dyDescent="0.25">
      <c r="A9" s="216"/>
      <c r="B9" s="217"/>
      <c r="C9" s="2" t="s">
        <v>93</v>
      </c>
      <c r="D9" s="3" t="s">
        <v>20</v>
      </c>
      <c r="E9" s="63">
        <f>SUM(E5:E8)</f>
        <v>0</v>
      </c>
      <c r="F9" s="53" t="s">
        <v>54</v>
      </c>
      <c r="G9" s="40">
        <v>0</v>
      </c>
      <c r="H9" s="75"/>
      <c r="I9" s="75"/>
    </row>
    <row r="10" spans="1:56" ht="15" customHeight="1" x14ac:dyDescent="0.25">
      <c r="A10" s="216"/>
      <c r="B10" s="217" t="s">
        <v>94</v>
      </c>
      <c r="C10" s="2">
        <v>6</v>
      </c>
      <c r="D10" s="3" t="s">
        <v>21</v>
      </c>
      <c r="E10" s="185">
        <f>G9</f>
        <v>0</v>
      </c>
      <c r="F10" s="187" t="s">
        <v>55</v>
      </c>
      <c r="G10" s="188">
        <f>0*6</f>
        <v>0</v>
      </c>
    </row>
    <row r="11" spans="1:56" ht="15" customHeight="1" thickBot="1" x14ac:dyDescent="0.3">
      <c r="A11" s="216"/>
      <c r="B11" s="217"/>
      <c r="C11" s="2">
        <v>7</v>
      </c>
      <c r="D11" s="3" t="s">
        <v>184</v>
      </c>
      <c r="E11" s="185">
        <f>G11/12</f>
        <v>0</v>
      </c>
      <c r="F11" s="187" t="s">
        <v>196</v>
      </c>
      <c r="G11" s="188">
        <f>Referências!C26*48</f>
        <v>0</v>
      </c>
    </row>
    <row r="12" spans="1:56" x14ac:dyDescent="0.25">
      <c r="A12" s="216"/>
      <c r="B12" s="217"/>
      <c r="C12" s="2">
        <v>8</v>
      </c>
      <c r="D12" s="3" t="s">
        <v>22</v>
      </c>
      <c r="E12" s="62">
        <f>(((G10)*1.5)/12)+(0*2)</f>
        <v>0</v>
      </c>
      <c r="F12" s="15" t="s">
        <v>86</v>
      </c>
      <c r="G12" s="186" t="s">
        <v>87</v>
      </c>
      <c r="H12" s="42" t="s">
        <v>90</v>
      </c>
      <c r="I12" s="48" t="s">
        <v>88</v>
      </c>
    </row>
    <row r="13" spans="1:56" ht="15.75" thickBot="1" x14ac:dyDescent="0.3">
      <c r="A13" s="216"/>
      <c r="B13" s="217"/>
      <c r="C13" s="2">
        <v>9</v>
      </c>
      <c r="D13" s="3" t="s">
        <v>23</v>
      </c>
      <c r="E13" s="62">
        <f>(F13*G13)+Referências!C32</f>
        <v>0</v>
      </c>
      <c r="F13" s="55">
        <f>I13/H13</f>
        <v>0</v>
      </c>
      <c r="G13" s="43">
        <f>I6</f>
        <v>12500</v>
      </c>
      <c r="H13" s="49">
        <v>4.5</v>
      </c>
      <c r="I13" s="47">
        <f>Referências!C27</f>
        <v>0</v>
      </c>
    </row>
    <row r="14" spans="1:56" x14ac:dyDescent="0.25">
      <c r="A14" s="216"/>
      <c r="B14" s="217"/>
      <c r="C14" s="2">
        <v>10</v>
      </c>
      <c r="D14" s="3" t="s">
        <v>70</v>
      </c>
      <c r="E14" s="64">
        <f>I16+(I18/12)</f>
        <v>0</v>
      </c>
      <c r="F14" s="53" t="s">
        <v>56</v>
      </c>
      <c r="G14" s="39">
        <v>0</v>
      </c>
      <c r="H14" s="16" t="s">
        <v>69</v>
      </c>
      <c r="I14" s="17">
        <v>0</v>
      </c>
    </row>
    <row r="15" spans="1:56" x14ac:dyDescent="0.25">
      <c r="A15" s="216"/>
      <c r="B15" s="217"/>
      <c r="C15" s="2" t="s">
        <v>185</v>
      </c>
      <c r="D15" s="3" t="s">
        <v>24</v>
      </c>
      <c r="E15" s="63">
        <f>SUM(E10:E14)</f>
        <v>0</v>
      </c>
      <c r="F15" s="53" t="s">
        <v>57</v>
      </c>
      <c r="G15" s="39">
        <v>0</v>
      </c>
      <c r="H15" s="16" t="s">
        <v>89</v>
      </c>
      <c r="I15" s="23">
        <v>60</v>
      </c>
    </row>
    <row r="16" spans="1:56" ht="15" customHeight="1" thickBot="1" x14ac:dyDescent="0.3">
      <c r="A16" s="216"/>
      <c r="B16" s="2" t="s">
        <v>10</v>
      </c>
      <c r="C16" s="2" t="s">
        <v>189</v>
      </c>
      <c r="D16" s="3" t="s">
        <v>25</v>
      </c>
      <c r="E16" s="63">
        <f>E9+E15</f>
        <v>0</v>
      </c>
      <c r="F16" s="53" t="s">
        <v>59</v>
      </c>
      <c r="G16" s="40">
        <f>E16*G14</f>
        <v>0</v>
      </c>
      <c r="H16" s="14" t="s">
        <v>42</v>
      </c>
      <c r="I16" s="18">
        <f>I14*I15</f>
        <v>0</v>
      </c>
    </row>
    <row r="17" spans="1:9" ht="15" customHeight="1" x14ac:dyDescent="0.25">
      <c r="A17" s="212" t="s">
        <v>26</v>
      </c>
      <c r="B17" s="213"/>
      <c r="C17" s="2">
        <v>13</v>
      </c>
      <c r="D17" s="3" t="s">
        <v>27</v>
      </c>
      <c r="E17" s="65">
        <f>'mão de obra'!D26</f>
        <v>0</v>
      </c>
      <c r="F17" s="53" t="s">
        <v>60</v>
      </c>
      <c r="G17" s="40">
        <f>G16+E16</f>
        <v>0</v>
      </c>
      <c r="H17" s="15"/>
      <c r="I17" s="13"/>
    </row>
    <row r="18" spans="1:9" ht="15" customHeight="1" x14ac:dyDescent="0.25">
      <c r="A18" s="212"/>
      <c r="B18" s="213"/>
      <c r="C18" s="2">
        <v>14</v>
      </c>
      <c r="D18" s="3" t="s">
        <v>28</v>
      </c>
      <c r="E18" s="65">
        <f>'mão de obra'!D27</f>
        <v>0</v>
      </c>
      <c r="F18" s="53" t="s">
        <v>61</v>
      </c>
      <c r="G18" s="40">
        <f>(G17*G15)-G16</f>
        <v>0</v>
      </c>
      <c r="H18" s="12" t="s">
        <v>100</v>
      </c>
      <c r="I18" s="24">
        <f>Referências!C15*2</f>
        <v>0</v>
      </c>
    </row>
    <row r="19" spans="1:9" ht="15" customHeight="1" x14ac:dyDescent="0.25">
      <c r="A19" s="212"/>
      <c r="B19" s="213"/>
      <c r="C19" s="2">
        <v>15</v>
      </c>
      <c r="D19" s="3" t="s">
        <v>169</v>
      </c>
      <c r="E19" s="65">
        <f>'mão de obra'!D28+'mão de obra'!D29+'mão de obra'!D30</f>
        <v>0</v>
      </c>
      <c r="F19" s="53" t="s">
        <v>63</v>
      </c>
      <c r="G19" s="40">
        <f>G18+G17</f>
        <v>0</v>
      </c>
      <c r="H19" s="12"/>
      <c r="I19" s="10"/>
    </row>
    <row r="20" spans="1:9" ht="15" customHeight="1" x14ac:dyDescent="0.25">
      <c r="A20" s="212"/>
      <c r="B20" s="213"/>
      <c r="C20" s="2">
        <v>16</v>
      </c>
      <c r="D20" s="3" t="s">
        <v>58</v>
      </c>
      <c r="E20" s="65">
        <f>'mão de obra'!E38</f>
        <v>0</v>
      </c>
      <c r="F20" s="53" t="s">
        <v>170</v>
      </c>
      <c r="G20" s="39">
        <f>0%*1</f>
        <v>0</v>
      </c>
      <c r="H20" s="12"/>
      <c r="I20" s="10"/>
    </row>
    <row r="21" spans="1:9" ht="15" customHeight="1" thickBot="1" x14ac:dyDescent="0.3">
      <c r="A21" s="212"/>
      <c r="B21" s="213"/>
      <c r="C21" s="2">
        <v>17</v>
      </c>
      <c r="D21" s="3" t="s">
        <v>57</v>
      </c>
      <c r="E21" s="65">
        <f>'mão de obra'!D45</f>
        <v>0</v>
      </c>
      <c r="F21" s="56" t="s">
        <v>62</v>
      </c>
      <c r="G21" s="44">
        <f>G19/(1-G20)</f>
        <v>0</v>
      </c>
      <c r="H21" s="12"/>
      <c r="I21" s="10"/>
    </row>
    <row r="22" spans="1:9" ht="15" customHeight="1" thickBot="1" x14ac:dyDescent="0.3">
      <c r="A22" s="212"/>
      <c r="B22" s="213"/>
      <c r="C22" s="2" t="s">
        <v>190</v>
      </c>
      <c r="D22" s="3" t="s">
        <v>29</v>
      </c>
      <c r="E22" s="66">
        <f>SUM(E17:E21)</f>
        <v>0</v>
      </c>
      <c r="F22" s="57"/>
      <c r="G22" s="45"/>
      <c r="H22" s="10"/>
      <c r="I22" s="10"/>
    </row>
    <row r="23" spans="1:9" ht="15" customHeight="1" x14ac:dyDescent="0.25">
      <c r="A23" s="212" t="s">
        <v>30</v>
      </c>
      <c r="B23" s="213"/>
      <c r="C23" s="2" t="s">
        <v>191</v>
      </c>
      <c r="D23" s="3" t="s">
        <v>31</v>
      </c>
      <c r="E23" s="63">
        <f>E16+E22</f>
        <v>0</v>
      </c>
      <c r="F23" s="54"/>
      <c r="G23" s="46" t="s">
        <v>38</v>
      </c>
      <c r="H23" s="12"/>
      <c r="I23" s="10"/>
    </row>
    <row r="24" spans="1:9" ht="15" customHeight="1" x14ac:dyDescent="0.25">
      <c r="A24" s="212"/>
      <c r="B24" s="213"/>
      <c r="C24" s="2">
        <v>20</v>
      </c>
      <c r="D24" s="3" t="s">
        <v>37</v>
      </c>
      <c r="E24" s="62">
        <f>G29</f>
        <v>0</v>
      </c>
      <c r="F24" s="12"/>
      <c r="G24" s="39">
        <v>1</v>
      </c>
      <c r="H24" s="12"/>
      <c r="I24" s="10"/>
    </row>
    <row r="25" spans="1:9" x14ac:dyDescent="0.25">
      <c r="A25" s="212"/>
      <c r="B25" s="213"/>
      <c r="C25" s="2">
        <v>21</v>
      </c>
      <c r="D25" s="3" t="s">
        <v>33</v>
      </c>
      <c r="E25" s="62">
        <f>E16*G14</f>
        <v>0</v>
      </c>
      <c r="F25" s="12"/>
      <c r="G25" s="39">
        <v>8.6499999999999994E-2</v>
      </c>
      <c r="H25" s="12"/>
      <c r="I25" s="10"/>
    </row>
    <row r="26" spans="1:9" x14ac:dyDescent="0.25">
      <c r="A26" s="212"/>
      <c r="B26" s="213"/>
      <c r="C26" s="2">
        <v>22</v>
      </c>
      <c r="D26" s="3" t="s">
        <v>32</v>
      </c>
      <c r="E26" s="62">
        <f>(E16+E25)*G15</f>
        <v>0</v>
      </c>
      <c r="F26" s="12"/>
      <c r="G26" s="39">
        <f>G24-G25</f>
        <v>0.91349999999999998</v>
      </c>
      <c r="H26" s="12"/>
      <c r="I26" s="10"/>
    </row>
    <row r="27" spans="1:9" x14ac:dyDescent="0.25">
      <c r="A27" s="212"/>
      <c r="B27" s="213"/>
      <c r="C27" s="2" t="s">
        <v>192</v>
      </c>
      <c r="D27" s="3" t="s">
        <v>35</v>
      </c>
      <c r="E27" s="63">
        <f>E16+E24+E25+E26</f>
        <v>0</v>
      </c>
      <c r="F27" s="12"/>
      <c r="G27" s="40">
        <f>E16+E25+E26</f>
        <v>0</v>
      </c>
      <c r="H27" s="12"/>
      <c r="I27" s="10"/>
    </row>
    <row r="28" spans="1:9" x14ac:dyDescent="0.25">
      <c r="A28" s="212"/>
      <c r="B28" s="213"/>
      <c r="C28" s="2">
        <v>24</v>
      </c>
      <c r="D28" s="3" t="s">
        <v>36</v>
      </c>
      <c r="E28" s="66">
        <f>E27+E22</f>
        <v>0</v>
      </c>
      <c r="F28" s="12"/>
      <c r="G28" s="40">
        <f>G27/G26</f>
        <v>0</v>
      </c>
      <c r="H28" s="12"/>
      <c r="I28" s="10"/>
    </row>
    <row r="29" spans="1:9" ht="15.75" thickBot="1" x14ac:dyDescent="0.3">
      <c r="A29" s="212"/>
      <c r="B29" s="213"/>
      <c r="C29" s="2" t="s">
        <v>193</v>
      </c>
      <c r="D29" s="3" t="s">
        <v>34</v>
      </c>
      <c r="E29" s="63">
        <f>E28/G13</f>
        <v>0</v>
      </c>
      <c r="F29" s="58"/>
      <c r="G29" s="44">
        <f>G28-G27</f>
        <v>0</v>
      </c>
      <c r="H29" s="12"/>
      <c r="I29" s="10"/>
    </row>
    <row r="30" spans="1:9" x14ac:dyDescent="0.25">
      <c r="A30" s="214"/>
      <c r="B30" s="215"/>
      <c r="C30" s="215"/>
      <c r="D30" s="215"/>
      <c r="E30" s="62"/>
      <c r="F30" s="15" t="s">
        <v>33</v>
      </c>
      <c r="G30" s="13"/>
      <c r="H30" s="10"/>
      <c r="I30" s="11"/>
    </row>
    <row r="31" spans="1:9" x14ac:dyDescent="0.25">
      <c r="A31" s="67"/>
      <c r="E31" s="22"/>
    </row>
    <row r="32" spans="1:9" x14ac:dyDescent="0.25">
      <c r="A32" s="196" t="s">
        <v>40</v>
      </c>
      <c r="B32" s="197"/>
      <c r="C32" s="197"/>
      <c r="D32" s="197"/>
      <c r="E32" s="22"/>
    </row>
    <row r="33" spans="1:5" x14ac:dyDescent="0.25">
      <c r="A33" s="68"/>
      <c r="B33" s="199" t="s">
        <v>41</v>
      </c>
      <c r="C33" s="199"/>
      <c r="D33" s="9" t="s">
        <v>4</v>
      </c>
      <c r="E33" s="22"/>
    </row>
    <row r="34" spans="1:5" x14ac:dyDescent="0.25">
      <c r="A34" s="68" t="s">
        <v>0</v>
      </c>
      <c r="B34" s="200" t="s">
        <v>45</v>
      </c>
      <c r="C34" s="200"/>
      <c r="D34" s="5">
        <f>E22</f>
        <v>0</v>
      </c>
      <c r="E34" s="22"/>
    </row>
    <row r="35" spans="1:5" x14ac:dyDescent="0.25">
      <c r="A35" s="68" t="s">
        <v>1</v>
      </c>
      <c r="B35" s="200" t="s">
        <v>46</v>
      </c>
      <c r="C35" s="200"/>
      <c r="D35" s="5">
        <f>E27</f>
        <v>0</v>
      </c>
      <c r="E35" s="22"/>
    </row>
    <row r="36" spans="1:5" ht="33.75" customHeight="1" x14ac:dyDescent="0.25">
      <c r="A36" s="71" t="s">
        <v>2</v>
      </c>
      <c r="B36" s="201" t="s">
        <v>47</v>
      </c>
      <c r="C36" s="202"/>
      <c r="D36" s="72">
        <f>(D34+D35)</f>
        <v>0</v>
      </c>
      <c r="E36" s="22"/>
    </row>
    <row r="37" spans="1:5" x14ac:dyDescent="0.25">
      <c r="A37" s="68" t="s">
        <v>3</v>
      </c>
      <c r="B37" s="198" t="s">
        <v>67</v>
      </c>
      <c r="C37" s="198"/>
      <c r="D37" s="73">
        <f>D36/G13</f>
        <v>0</v>
      </c>
      <c r="E37" s="22"/>
    </row>
    <row r="38" spans="1:5" x14ac:dyDescent="0.25">
      <c r="A38" s="69"/>
      <c r="B38" s="76"/>
      <c r="C38" s="76"/>
      <c r="D38" s="70"/>
      <c r="E38" s="22"/>
    </row>
    <row r="39" spans="1:5" x14ac:dyDescent="0.25">
      <c r="A39" s="69"/>
      <c r="B39" s="195"/>
      <c r="C39" s="195"/>
      <c r="D39" s="70"/>
      <c r="E39" s="22"/>
    </row>
    <row r="40" spans="1:5" ht="15.75" thickBot="1" x14ac:dyDescent="0.3">
      <c r="A40" s="69"/>
      <c r="B40" s="195"/>
      <c r="C40" s="195"/>
      <c r="D40" s="70"/>
      <c r="E40" s="22"/>
    </row>
    <row r="41" spans="1:5" x14ac:dyDescent="0.25">
      <c r="A41" s="166"/>
      <c r="B41" s="167"/>
      <c r="C41" s="167"/>
      <c r="D41" s="168"/>
      <c r="E41" s="169" t="s">
        <v>178</v>
      </c>
    </row>
    <row r="42" spans="1:5" x14ac:dyDescent="0.25">
      <c r="A42" s="170"/>
      <c r="B42" s="171"/>
      <c r="C42" s="171"/>
      <c r="D42" s="172" t="s">
        <v>197</v>
      </c>
      <c r="E42" s="173">
        <v>28.33</v>
      </c>
    </row>
    <row r="43" spans="1:5" ht="15.75" thickBot="1" x14ac:dyDescent="0.3">
      <c r="A43" s="174"/>
      <c r="B43" s="172"/>
      <c r="C43" s="172"/>
      <c r="D43" s="172" t="s">
        <v>179</v>
      </c>
      <c r="E43" s="22">
        <v>0.09</v>
      </c>
    </row>
    <row r="44" spans="1:5" ht="15.75" thickBot="1" x14ac:dyDescent="0.3">
      <c r="A44" s="175"/>
      <c r="B44" s="176"/>
      <c r="C44" s="176"/>
      <c r="D44" s="176" t="s">
        <v>180</v>
      </c>
      <c r="E44" s="177">
        <f>E42*E43</f>
        <v>2.5496999999999996</v>
      </c>
    </row>
    <row r="45" spans="1:5" x14ac:dyDescent="0.25">
      <c r="D45" s="6"/>
    </row>
    <row r="47" spans="1:5" x14ac:dyDescent="0.25">
      <c r="C47" s="8"/>
    </row>
    <row r="48" spans="1:5" x14ac:dyDescent="0.25">
      <c r="B48" s="7"/>
    </row>
    <row r="49" spans="2:2" x14ac:dyDescent="0.25">
      <c r="B49" s="6"/>
    </row>
    <row r="50" spans="2:2" ht="40.5" customHeight="1" x14ac:dyDescent="0.25">
      <c r="B50" s="6"/>
    </row>
    <row r="51" spans="2:2" x14ac:dyDescent="0.25">
      <c r="B51" s="6"/>
    </row>
  </sheetData>
  <mergeCells count="18">
    <mergeCell ref="A23:B29"/>
    <mergeCell ref="A30:D30"/>
    <mergeCell ref="A5:A16"/>
    <mergeCell ref="B5:B9"/>
    <mergeCell ref="B10:B15"/>
    <mergeCell ref="A1:E1"/>
    <mergeCell ref="A2:E2"/>
    <mergeCell ref="A3:D3"/>
    <mergeCell ref="B4:D4"/>
    <mergeCell ref="A17:B22"/>
    <mergeCell ref="B39:C39"/>
    <mergeCell ref="B40:C40"/>
    <mergeCell ref="A32:D32"/>
    <mergeCell ref="B37:C37"/>
    <mergeCell ref="B33:C33"/>
    <mergeCell ref="B34:C34"/>
    <mergeCell ref="B35:C35"/>
    <mergeCell ref="B36:C36"/>
  </mergeCells>
  <pageMargins left="0.51181102362204722" right="0.51181102362204722" top="0.39370078740157483" bottom="0.78740157480314965" header="0.31496062992125984" footer="0.31496062992125984"/>
  <pageSetup paperSize="9" scale="81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82" workbookViewId="0">
      <selection activeCell="F30" sqref="F30"/>
    </sheetView>
  </sheetViews>
  <sheetFormatPr defaultRowHeight="15" x14ac:dyDescent="0.25"/>
  <cols>
    <col min="1" max="1" width="28" customWidth="1"/>
    <col min="4" max="4" width="32.85546875" customWidth="1"/>
    <col min="5" max="5" width="14.42578125" customWidth="1"/>
    <col min="6" max="6" width="18.140625" customWidth="1"/>
  </cols>
  <sheetData>
    <row r="1" spans="1:6" x14ac:dyDescent="0.25">
      <c r="A1" s="86"/>
      <c r="B1" s="87"/>
      <c r="C1" s="87"/>
      <c r="D1" s="88"/>
      <c r="E1" s="88"/>
      <c r="F1" s="86"/>
    </row>
    <row r="2" spans="1:6" x14ac:dyDescent="0.25">
      <c r="A2" s="235" t="s">
        <v>171</v>
      </c>
      <c r="B2" s="235"/>
      <c r="C2" s="235"/>
      <c r="D2" s="235"/>
      <c r="E2" s="89"/>
      <c r="F2" s="89"/>
    </row>
    <row r="3" spans="1:6" x14ac:dyDescent="0.25">
      <c r="A3" s="86"/>
      <c r="B3" s="87"/>
      <c r="C3" s="87"/>
      <c r="D3" s="90"/>
      <c r="E3" s="90"/>
      <c r="F3" s="86"/>
    </row>
    <row r="4" spans="1:6" x14ac:dyDescent="0.25">
      <c r="A4" s="236" t="s">
        <v>174</v>
      </c>
      <c r="B4" s="236"/>
      <c r="C4" s="236"/>
      <c r="D4" s="236"/>
      <c r="E4" s="90"/>
      <c r="F4" s="86"/>
    </row>
    <row r="5" spans="1:6" x14ac:dyDescent="0.25">
      <c r="A5" s="236"/>
      <c r="B5" s="236"/>
      <c r="C5" s="236"/>
      <c r="D5" s="236"/>
      <c r="E5" s="90"/>
      <c r="F5" s="86"/>
    </row>
    <row r="6" spans="1:6" x14ac:dyDescent="0.25">
      <c r="A6" s="236"/>
      <c r="B6" s="236"/>
      <c r="C6" s="236"/>
      <c r="D6" s="236"/>
      <c r="E6" s="90"/>
      <c r="F6" s="86"/>
    </row>
    <row r="7" spans="1:6" x14ac:dyDescent="0.25">
      <c r="A7" s="236"/>
      <c r="B7" s="236"/>
      <c r="C7" s="236"/>
      <c r="D7" s="236"/>
      <c r="E7" s="90"/>
      <c r="F7" s="86"/>
    </row>
    <row r="8" spans="1:6" x14ac:dyDescent="0.25">
      <c r="A8" s="236"/>
      <c r="B8" s="236"/>
      <c r="C8" s="236"/>
      <c r="D8" s="236"/>
      <c r="E8" s="90"/>
      <c r="F8" s="86"/>
    </row>
    <row r="9" spans="1:6" x14ac:dyDescent="0.25">
      <c r="A9" s="236"/>
      <c r="B9" s="236"/>
      <c r="C9" s="236"/>
      <c r="D9" s="236"/>
      <c r="E9" s="90"/>
      <c r="F9" s="86"/>
    </row>
    <row r="10" spans="1:6" x14ac:dyDescent="0.25">
      <c r="A10" s="86"/>
      <c r="B10" s="87"/>
      <c r="C10" s="87"/>
      <c r="D10" s="90"/>
      <c r="E10" s="90"/>
      <c r="F10" s="86"/>
    </row>
    <row r="11" spans="1:6" ht="15.75" thickBot="1" x14ac:dyDescent="0.3">
      <c r="A11" s="91" t="s">
        <v>102</v>
      </c>
      <c r="B11" s="88"/>
      <c r="C11" s="88"/>
      <c r="D11" s="92">
        <v>46171</v>
      </c>
      <c r="E11" s="86"/>
      <c r="F11" s="86"/>
    </row>
    <row r="12" spans="1:6" x14ac:dyDescent="0.25">
      <c r="A12" s="93" t="s">
        <v>71</v>
      </c>
      <c r="B12" s="237" t="s">
        <v>103</v>
      </c>
      <c r="C12" s="237"/>
      <c r="D12" s="94" t="s">
        <v>104</v>
      </c>
      <c r="E12" s="86"/>
      <c r="F12" s="86"/>
    </row>
    <row r="13" spans="1:6" x14ac:dyDescent="0.25">
      <c r="A13" s="95" t="s">
        <v>105</v>
      </c>
      <c r="B13" s="233">
        <f>D31</f>
        <v>0</v>
      </c>
      <c r="C13" s="234"/>
      <c r="D13" s="96" t="e">
        <f>+B13/D$47</f>
        <v>#DIV/0!</v>
      </c>
      <c r="E13" s="86"/>
      <c r="F13" s="86"/>
    </row>
    <row r="14" spans="1:6" x14ac:dyDescent="0.25">
      <c r="A14" s="95" t="s">
        <v>172</v>
      </c>
      <c r="B14" s="233">
        <f>E38</f>
        <v>0</v>
      </c>
      <c r="C14" s="234"/>
      <c r="D14" s="96" t="e">
        <f>+B14/D$47</f>
        <v>#DIV/0!</v>
      </c>
      <c r="E14" s="86"/>
      <c r="F14" s="86"/>
    </row>
    <row r="15" spans="1:6" ht="15.75" thickBot="1" x14ac:dyDescent="0.3">
      <c r="A15" s="97" t="s">
        <v>106</v>
      </c>
      <c r="B15" s="233">
        <f>D45</f>
        <v>0</v>
      </c>
      <c r="C15" s="234"/>
      <c r="D15" s="96" t="e">
        <f>+B15/D$47</f>
        <v>#DIV/0!</v>
      </c>
      <c r="E15" s="86"/>
      <c r="F15" s="86"/>
    </row>
    <row r="16" spans="1:6" ht="15.75" thickBot="1" x14ac:dyDescent="0.3">
      <c r="A16" s="98" t="s">
        <v>107</v>
      </c>
      <c r="B16" s="223">
        <f>SUM(B13:C15)</f>
        <v>0</v>
      </c>
      <c r="C16" s="224"/>
      <c r="D16" s="99" t="e">
        <f>SUM(D13:D15)</f>
        <v>#DIV/0!</v>
      </c>
      <c r="E16" s="86"/>
      <c r="F16" s="86"/>
    </row>
    <row r="17" spans="1:6" x14ac:dyDescent="0.25">
      <c r="A17" s="100"/>
      <c r="B17" s="100"/>
      <c r="C17" s="100"/>
      <c r="D17" s="101"/>
      <c r="E17" s="101"/>
      <c r="F17" s="100"/>
    </row>
    <row r="18" spans="1:6" x14ac:dyDescent="0.25">
      <c r="A18" s="100"/>
      <c r="B18" s="100"/>
      <c r="C18" s="100"/>
      <c r="D18" s="101"/>
      <c r="E18" s="101"/>
      <c r="F18" s="100"/>
    </row>
    <row r="19" spans="1:6" ht="15.75" thickBot="1" x14ac:dyDescent="0.3">
      <c r="A19" s="91" t="s">
        <v>108</v>
      </c>
      <c r="B19" s="101"/>
      <c r="C19" s="101"/>
      <c r="D19" s="101"/>
      <c r="E19" s="101"/>
      <c r="F19" s="86"/>
    </row>
    <row r="20" spans="1:6" x14ac:dyDescent="0.25">
      <c r="A20" s="225" t="s">
        <v>109</v>
      </c>
      <c r="B20" s="226"/>
      <c r="C20" s="227"/>
      <c r="D20" s="102" t="s">
        <v>110</v>
      </c>
      <c r="E20" s="86"/>
      <c r="F20" s="86"/>
    </row>
    <row r="21" spans="1:6" ht="15.75" thickBot="1" x14ac:dyDescent="0.3">
      <c r="A21" s="228" t="s">
        <v>173</v>
      </c>
      <c r="B21" s="229"/>
      <c r="C21" s="230"/>
      <c r="D21" s="103">
        <v>1</v>
      </c>
      <c r="E21" s="86"/>
      <c r="F21" s="86"/>
    </row>
    <row r="22" spans="1:6" x14ac:dyDescent="0.25">
      <c r="A22" s="104"/>
      <c r="B22" s="104"/>
      <c r="C22" s="104"/>
      <c r="D22" s="100"/>
      <c r="E22" s="100"/>
      <c r="F22" s="86"/>
    </row>
    <row r="23" spans="1:6" x14ac:dyDescent="0.25">
      <c r="A23" s="105" t="s">
        <v>111</v>
      </c>
      <c r="B23" s="100"/>
      <c r="C23" s="100"/>
      <c r="D23" s="101"/>
      <c r="E23" s="101"/>
      <c r="F23" s="100"/>
    </row>
    <row r="24" spans="1:6" ht="15.75" thickBot="1" x14ac:dyDescent="0.3">
      <c r="A24" s="100"/>
      <c r="B24" s="100"/>
      <c r="C24" s="100"/>
      <c r="D24" s="101"/>
      <c r="E24" s="101"/>
      <c r="F24" s="100"/>
    </row>
    <row r="25" spans="1:6" x14ac:dyDescent="0.25">
      <c r="A25" s="106" t="s">
        <v>112</v>
      </c>
      <c r="B25" s="107" t="s">
        <v>113</v>
      </c>
      <c r="C25" s="107" t="s">
        <v>110</v>
      </c>
      <c r="D25" s="108" t="s">
        <v>114</v>
      </c>
      <c r="E25" s="100"/>
      <c r="F25" s="100"/>
    </row>
    <row r="26" spans="1:6" x14ac:dyDescent="0.25">
      <c r="A26" s="109" t="s">
        <v>115</v>
      </c>
      <c r="B26" s="110" t="s">
        <v>116</v>
      </c>
      <c r="C26" s="110">
        <v>1</v>
      </c>
      <c r="D26" s="111">
        <v>0</v>
      </c>
      <c r="E26" s="100"/>
      <c r="F26" s="100"/>
    </row>
    <row r="27" spans="1:6" x14ac:dyDescent="0.25">
      <c r="A27" s="109" t="s">
        <v>117</v>
      </c>
      <c r="B27" s="110" t="s">
        <v>104</v>
      </c>
      <c r="C27" s="112">
        <v>0.69289999999999996</v>
      </c>
      <c r="D27" s="111">
        <f>0.6929*(D26)</f>
        <v>0</v>
      </c>
      <c r="E27" s="100"/>
      <c r="F27" s="100"/>
    </row>
    <row r="28" spans="1:6" x14ac:dyDescent="0.25">
      <c r="A28" s="109" t="s">
        <v>118</v>
      </c>
      <c r="B28" s="110" t="s">
        <v>116</v>
      </c>
      <c r="C28" s="110">
        <v>1</v>
      </c>
      <c r="D28" s="111">
        <f>(0*22)*0.8</f>
        <v>0</v>
      </c>
      <c r="E28" s="100"/>
      <c r="F28" s="100"/>
    </row>
    <row r="29" spans="1:6" x14ac:dyDescent="0.25">
      <c r="A29" s="113" t="s">
        <v>166</v>
      </c>
      <c r="B29" s="114" t="s">
        <v>116</v>
      </c>
      <c r="C29" s="114">
        <v>1</v>
      </c>
      <c r="D29" s="115">
        <v>0</v>
      </c>
      <c r="E29" s="100"/>
      <c r="F29" s="100"/>
    </row>
    <row r="30" spans="1:6" x14ac:dyDescent="0.25">
      <c r="A30" s="113" t="s">
        <v>119</v>
      </c>
      <c r="B30" s="114" t="s">
        <v>120</v>
      </c>
      <c r="C30" s="114">
        <v>44</v>
      </c>
      <c r="D30" s="115">
        <f>((0*2)*22)-((D26*6)/100)</f>
        <v>0</v>
      </c>
      <c r="E30" s="100"/>
      <c r="F30" s="100"/>
    </row>
    <row r="31" spans="1:6" ht="15.75" thickBot="1" x14ac:dyDescent="0.3">
      <c r="A31" s="231" t="s">
        <v>121</v>
      </c>
      <c r="B31" s="232"/>
      <c r="C31" s="232"/>
      <c r="D31" s="116">
        <f>SUM(D26:D30)</f>
        <v>0</v>
      </c>
      <c r="E31" s="100"/>
      <c r="F31" s="100"/>
    </row>
    <row r="32" spans="1:6" x14ac:dyDescent="0.25">
      <c r="A32" s="100"/>
      <c r="B32" s="100"/>
      <c r="C32" s="100"/>
      <c r="D32" s="101"/>
      <c r="E32" s="101"/>
      <c r="F32" s="100"/>
    </row>
    <row r="33" spans="1:7" x14ac:dyDescent="0.25">
      <c r="A33" s="105" t="s">
        <v>168</v>
      </c>
      <c r="B33" s="100"/>
      <c r="C33" s="100"/>
      <c r="D33" s="101"/>
      <c r="E33" s="101"/>
      <c r="F33" s="100"/>
    </row>
    <row r="34" spans="1:7" ht="15.75" thickBot="1" x14ac:dyDescent="0.3">
      <c r="A34" s="100"/>
      <c r="B34" s="100"/>
      <c r="C34" s="100"/>
      <c r="D34" s="101"/>
      <c r="E34" s="101"/>
      <c r="F34" s="100"/>
    </row>
    <row r="35" spans="1:7" x14ac:dyDescent="0.25">
      <c r="A35" s="106" t="s">
        <v>112</v>
      </c>
      <c r="B35" s="107" t="s">
        <v>113</v>
      </c>
      <c r="C35" s="107" t="s">
        <v>110</v>
      </c>
      <c r="D35" s="108" t="s">
        <v>122</v>
      </c>
      <c r="E35" s="108" t="s">
        <v>123</v>
      </c>
      <c r="F35" s="108" t="s">
        <v>124</v>
      </c>
      <c r="G35" s="108" t="s">
        <v>125</v>
      </c>
    </row>
    <row r="36" spans="1:7" x14ac:dyDescent="0.25">
      <c r="A36" s="120" t="s">
        <v>167</v>
      </c>
      <c r="B36" s="114" t="s">
        <v>126</v>
      </c>
      <c r="C36" s="114">
        <v>4</v>
      </c>
      <c r="D36" s="117">
        <f t="shared" ref="D36:D37" si="0">C36*F36</f>
        <v>0</v>
      </c>
      <c r="E36" s="118">
        <f t="shared" ref="E36:E38" si="1">D36/12</f>
        <v>0</v>
      </c>
      <c r="F36" s="119">
        <v>0</v>
      </c>
      <c r="G36" s="10">
        <v>90</v>
      </c>
    </row>
    <row r="37" spans="1:7" x14ac:dyDescent="0.25">
      <c r="A37" s="120" t="s">
        <v>101</v>
      </c>
      <c r="B37" s="114" t="s">
        <v>126</v>
      </c>
      <c r="C37" s="114">
        <v>2</v>
      </c>
      <c r="D37" s="117">
        <f t="shared" si="0"/>
        <v>0</v>
      </c>
      <c r="E37" s="118">
        <f t="shared" si="1"/>
        <v>0</v>
      </c>
      <c r="F37" s="119">
        <v>0</v>
      </c>
      <c r="G37" s="10">
        <v>180</v>
      </c>
    </row>
    <row r="38" spans="1:7" ht="15.75" thickBot="1" x14ac:dyDescent="0.3">
      <c r="A38" s="231" t="s">
        <v>127</v>
      </c>
      <c r="B38" s="232"/>
      <c r="C38" s="232"/>
      <c r="D38" s="121">
        <f>SUM(D36:D37)</f>
        <v>0</v>
      </c>
      <c r="E38" s="121">
        <f t="shared" si="1"/>
        <v>0</v>
      </c>
      <c r="F38" s="122"/>
    </row>
    <row r="39" spans="1:7" ht="15.75" thickBot="1" x14ac:dyDescent="0.3">
      <c r="A39" s="100"/>
      <c r="B39" s="100"/>
      <c r="C39" s="100"/>
      <c r="D39" s="101"/>
      <c r="E39" s="101"/>
      <c r="F39" s="100"/>
    </row>
    <row r="40" spans="1:7" ht="15.75" thickBot="1" x14ac:dyDescent="0.3">
      <c r="A40" s="123" t="s">
        <v>128</v>
      </c>
      <c r="B40" s="124"/>
      <c r="C40" s="124"/>
      <c r="D40" s="125">
        <f>D31+E38</f>
        <v>0</v>
      </c>
      <c r="E40" s="100"/>
      <c r="F40" s="100"/>
    </row>
    <row r="41" spans="1:7" x14ac:dyDescent="0.25">
      <c r="A41" s="100"/>
      <c r="B41" s="100"/>
      <c r="C41" s="100"/>
      <c r="D41" s="101"/>
      <c r="E41" s="100"/>
      <c r="F41" s="100"/>
    </row>
    <row r="42" spans="1:7" x14ac:dyDescent="0.25">
      <c r="A42" s="105" t="s">
        <v>129</v>
      </c>
      <c r="B42" s="100"/>
      <c r="C42" s="100"/>
      <c r="D42" s="101"/>
      <c r="E42" s="100"/>
      <c r="F42" s="100"/>
    </row>
    <row r="43" spans="1:7" ht="15.75" thickBot="1" x14ac:dyDescent="0.3">
      <c r="A43" s="100"/>
      <c r="B43" s="100"/>
      <c r="C43" s="100"/>
      <c r="D43" s="101"/>
      <c r="E43" s="100"/>
      <c r="F43" s="100"/>
    </row>
    <row r="44" spans="1:7" x14ac:dyDescent="0.25">
      <c r="A44" s="106" t="s">
        <v>112</v>
      </c>
      <c r="B44" s="107" t="s">
        <v>113</v>
      </c>
      <c r="C44" s="107" t="s">
        <v>110</v>
      </c>
      <c r="D44" s="108" t="s">
        <v>114</v>
      </c>
      <c r="E44" s="100"/>
      <c r="F44" s="100"/>
    </row>
    <row r="45" spans="1:7" ht="15.75" thickBot="1" x14ac:dyDescent="0.3">
      <c r="A45" s="126" t="s">
        <v>130</v>
      </c>
      <c r="B45" s="127" t="s">
        <v>104</v>
      </c>
      <c r="C45" s="127">
        <v>0</v>
      </c>
      <c r="D45" s="121">
        <f>(C45/100)*D40</f>
        <v>0</v>
      </c>
      <c r="E45" s="100"/>
      <c r="F45" s="100"/>
    </row>
    <row r="46" spans="1:7" ht="15.75" thickBot="1" x14ac:dyDescent="0.3">
      <c r="A46" s="100"/>
      <c r="B46" s="100"/>
      <c r="C46" s="100"/>
      <c r="D46" s="101"/>
      <c r="E46" s="100"/>
      <c r="F46" s="100"/>
    </row>
    <row r="47" spans="1:7" ht="15.75" thickBot="1" x14ac:dyDescent="0.3">
      <c r="A47" s="218" t="s">
        <v>131</v>
      </c>
      <c r="B47" s="219"/>
      <c r="C47" s="220"/>
      <c r="D47" s="125">
        <f>D40+D45</f>
        <v>0</v>
      </c>
      <c r="E47" s="100"/>
      <c r="F47" s="100"/>
    </row>
    <row r="48" spans="1:7" ht="15.75" x14ac:dyDescent="0.25">
      <c r="A48" s="128"/>
      <c r="B48" s="128"/>
      <c r="C48" s="128"/>
      <c r="D48" s="129"/>
      <c r="E48" s="129"/>
      <c r="F48" s="100"/>
    </row>
    <row r="49" spans="1:6" ht="15.75" x14ac:dyDescent="0.25">
      <c r="A49" s="130" t="s">
        <v>117</v>
      </c>
      <c r="B49" s="101"/>
      <c r="C49" s="101"/>
      <c r="D49" s="101"/>
      <c r="E49" s="101"/>
      <c r="F49" s="86"/>
    </row>
    <row r="50" spans="1:6" x14ac:dyDescent="0.25">
      <c r="A50" s="131"/>
      <c r="B50" s="132"/>
      <c r="C50" s="104"/>
      <c r="D50" s="101"/>
      <c r="E50" s="133"/>
      <c r="F50" s="105"/>
    </row>
    <row r="51" spans="1:6" x14ac:dyDescent="0.25">
      <c r="A51" s="134" t="s">
        <v>132</v>
      </c>
      <c r="B51" s="135"/>
      <c r="C51" s="104"/>
      <c r="D51" s="101"/>
      <c r="E51" s="136"/>
      <c r="F51" s="137"/>
    </row>
    <row r="52" spans="1:6" x14ac:dyDescent="0.25">
      <c r="A52" s="138" t="s">
        <v>5</v>
      </c>
      <c r="B52" s="139">
        <v>0.2</v>
      </c>
      <c r="C52" s="104"/>
      <c r="D52" s="101"/>
      <c r="E52" s="101"/>
      <c r="F52" s="86"/>
    </row>
    <row r="53" spans="1:6" x14ac:dyDescent="0.25">
      <c r="A53" s="138" t="s">
        <v>133</v>
      </c>
      <c r="B53" s="139">
        <v>1.4999999999999999E-2</v>
      </c>
      <c r="C53" s="104"/>
      <c r="D53" s="101"/>
      <c r="E53" s="101"/>
      <c r="F53" s="86"/>
    </row>
    <row r="54" spans="1:6" x14ac:dyDescent="0.25">
      <c r="A54" s="138" t="s">
        <v>134</v>
      </c>
      <c r="B54" s="139">
        <v>0.01</v>
      </c>
      <c r="C54" s="104"/>
      <c r="D54" s="101"/>
      <c r="E54" s="101"/>
      <c r="F54" s="86"/>
    </row>
    <row r="55" spans="1:6" x14ac:dyDescent="0.25">
      <c r="A55" s="138" t="s">
        <v>6</v>
      </c>
      <c r="B55" s="139">
        <v>2E-3</v>
      </c>
      <c r="C55" s="104"/>
      <c r="D55" s="101"/>
      <c r="E55" s="101"/>
      <c r="F55" s="86"/>
    </row>
    <row r="56" spans="1:6" x14ac:dyDescent="0.25">
      <c r="A56" s="138" t="s">
        <v>9</v>
      </c>
      <c r="B56" s="139">
        <v>6.0000000000000001E-3</v>
      </c>
      <c r="C56" s="104"/>
      <c r="D56" s="101"/>
      <c r="E56" s="101"/>
      <c r="F56" s="86"/>
    </row>
    <row r="57" spans="1:6" x14ac:dyDescent="0.25">
      <c r="A57" s="138" t="s">
        <v>7</v>
      </c>
      <c r="B57" s="139">
        <v>2.5000000000000001E-2</v>
      </c>
      <c r="C57" s="104"/>
      <c r="D57" s="101"/>
      <c r="E57" s="101"/>
      <c r="F57" s="86"/>
    </row>
    <row r="58" spans="1:6" x14ac:dyDescent="0.25">
      <c r="A58" s="138" t="s">
        <v>135</v>
      </c>
      <c r="B58" s="139">
        <v>0.03</v>
      </c>
      <c r="C58" s="104"/>
      <c r="D58" s="101"/>
      <c r="E58" s="101"/>
      <c r="F58" s="86"/>
    </row>
    <row r="59" spans="1:6" x14ac:dyDescent="0.25">
      <c r="A59" s="138" t="s">
        <v>8</v>
      </c>
      <c r="B59" s="139">
        <v>0.08</v>
      </c>
      <c r="C59" s="104"/>
      <c r="D59" s="101"/>
      <c r="E59" s="101"/>
      <c r="F59" s="86"/>
    </row>
    <row r="60" spans="1:6" x14ac:dyDescent="0.25">
      <c r="A60" s="140" t="s">
        <v>63</v>
      </c>
      <c r="B60" s="141">
        <f>SUM(B52:B59)</f>
        <v>0.36800000000000005</v>
      </c>
      <c r="C60" s="104"/>
      <c r="D60" s="101"/>
      <c r="E60" s="133"/>
      <c r="F60" s="105"/>
    </row>
    <row r="61" spans="1:6" x14ac:dyDescent="0.25">
      <c r="A61" s="100"/>
      <c r="B61" s="100"/>
      <c r="C61" s="100"/>
      <c r="D61" s="101"/>
      <c r="E61" s="101"/>
      <c r="F61" s="100"/>
    </row>
    <row r="62" spans="1:6" x14ac:dyDescent="0.25">
      <c r="A62" s="134" t="s">
        <v>136</v>
      </c>
      <c r="B62" s="142"/>
      <c r="C62" s="104"/>
      <c r="D62" s="101"/>
      <c r="E62" s="136"/>
      <c r="F62" s="137"/>
    </row>
    <row r="63" spans="1:6" x14ac:dyDescent="0.25">
      <c r="A63" s="138" t="s">
        <v>137</v>
      </c>
      <c r="B63" s="139">
        <v>6.7000000000000002E-3</v>
      </c>
      <c r="C63" s="104"/>
      <c r="D63" s="101"/>
      <c r="E63" s="101"/>
      <c r="F63" s="86"/>
    </row>
    <row r="64" spans="1:6" x14ac:dyDescent="0.25">
      <c r="A64" s="138" t="s">
        <v>138</v>
      </c>
      <c r="B64" s="139">
        <v>8.2900000000000001E-2</v>
      </c>
      <c r="C64" s="104"/>
      <c r="D64" s="101"/>
      <c r="E64" s="101"/>
      <c r="F64" s="86"/>
    </row>
    <row r="65" spans="1:6" x14ac:dyDescent="0.25">
      <c r="A65" s="138" t="s">
        <v>139</v>
      </c>
      <c r="B65" s="139">
        <v>5.0000000000000001E-4</v>
      </c>
      <c r="C65" s="104"/>
      <c r="D65" s="101"/>
      <c r="E65" s="101"/>
      <c r="F65" s="86"/>
    </row>
    <row r="66" spans="1:6" x14ac:dyDescent="0.25">
      <c r="A66" s="138" t="s">
        <v>140</v>
      </c>
      <c r="B66" s="139">
        <v>5.5999999999999999E-3</v>
      </c>
      <c r="C66" s="104"/>
      <c r="D66" s="101"/>
      <c r="E66" s="133"/>
      <c r="F66" s="105"/>
    </row>
    <row r="67" spans="1:6" x14ac:dyDescent="0.25">
      <c r="A67" s="138" t="s">
        <v>141</v>
      </c>
      <c r="B67" s="139">
        <v>2.0000000000000001E-4</v>
      </c>
      <c r="C67" s="100"/>
      <c r="D67" s="101"/>
      <c r="E67" s="101"/>
      <c r="F67" s="100"/>
    </row>
    <row r="68" spans="1:6" x14ac:dyDescent="0.25">
      <c r="A68" s="138" t="s">
        <v>142</v>
      </c>
      <c r="B68" s="139">
        <v>8.3799999999999999E-2</v>
      </c>
      <c r="C68" s="143"/>
      <c r="D68" s="88"/>
      <c r="E68" s="136"/>
      <c r="F68" s="137"/>
    </row>
    <row r="69" spans="1:6" x14ac:dyDescent="0.25">
      <c r="A69" s="138" t="s">
        <v>143</v>
      </c>
      <c r="B69" s="139">
        <v>2.9999999999999997E-4</v>
      </c>
      <c r="C69" s="143"/>
      <c r="D69" s="88"/>
      <c r="E69" s="136"/>
      <c r="F69" s="137"/>
    </row>
    <row r="70" spans="1:6" x14ac:dyDescent="0.25">
      <c r="A70" s="140" t="s">
        <v>63</v>
      </c>
      <c r="B70" s="141">
        <f>SUM(B63:B69)</f>
        <v>0.18</v>
      </c>
      <c r="C70" s="104"/>
      <c r="D70" s="101"/>
      <c r="E70" s="101"/>
      <c r="F70" s="86"/>
    </row>
    <row r="71" spans="1:6" x14ac:dyDescent="0.25">
      <c r="A71" s="138"/>
      <c r="B71" s="139"/>
      <c r="C71" s="104"/>
      <c r="D71" s="101"/>
      <c r="E71" s="101"/>
      <c r="F71" s="86"/>
    </row>
    <row r="72" spans="1:6" x14ac:dyDescent="0.25">
      <c r="A72" s="134" t="s">
        <v>144</v>
      </c>
      <c r="B72" s="142"/>
      <c r="C72" s="104"/>
      <c r="D72" s="105"/>
      <c r="E72" s="144"/>
      <c r="F72" s="105"/>
    </row>
    <row r="73" spans="1:6" x14ac:dyDescent="0.25">
      <c r="A73" s="138" t="s">
        <v>43</v>
      </c>
      <c r="B73" s="139">
        <v>3.1699999999999999E-2</v>
      </c>
      <c r="C73" s="100"/>
      <c r="D73" s="144"/>
      <c r="E73" s="144"/>
      <c r="F73" s="100"/>
    </row>
    <row r="74" spans="1:6" x14ac:dyDescent="0.25">
      <c r="A74" s="138" t="s">
        <v>44</v>
      </c>
      <c r="B74" s="139">
        <v>8.0000000000000004E-4</v>
      </c>
      <c r="C74" s="100"/>
      <c r="D74" s="144"/>
      <c r="E74" s="144"/>
      <c r="F74" s="100"/>
    </row>
    <row r="75" spans="1:6" x14ac:dyDescent="0.25">
      <c r="A75" s="138" t="s">
        <v>145</v>
      </c>
      <c r="B75" s="139">
        <v>2.7300000000000001E-2</v>
      </c>
      <c r="C75" s="143"/>
      <c r="D75" s="144"/>
      <c r="E75" s="144"/>
      <c r="F75" s="137"/>
    </row>
    <row r="76" spans="1:6" x14ac:dyDescent="0.25">
      <c r="A76" s="138" t="s">
        <v>146</v>
      </c>
      <c r="B76" s="139">
        <v>1.35E-2</v>
      </c>
      <c r="C76" s="104"/>
      <c r="D76" s="144"/>
      <c r="E76" s="144"/>
      <c r="F76" s="86"/>
    </row>
    <row r="77" spans="1:6" x14ac:dyDescent="0.25">
      <c r="A77" s="138" t="s">
        <v>147</v>
      </c>
      <c r="B77" s="139">
        <v>2.5999999999999999E-3</v>
      </c>
      <c r="C77" s="104"/>
      <c r="D77" s="144"/>
      <c r="E77" s="144"/>
      <c r="F77" s="86"/>
    </row>
    <row r="78" spans="1:6" x14ac:dyDescent="0.25">
      <c r="A78" s="140" t="s">
        <v>63</v>
      </c>
      <c r="B78" s="141">
        <f>SUM(B73:B77)</f>
        <v>7.5900000000000009E-2</v>
      </c>
      <c r="C78" s="104"/>
      <c r="D78" s="144"/>
      <c r="E78" s="144"/>
      <c r="F78" s="86"/>
    </row>
    <row r="79" spans="1:6" x14ac:dyDescent="0.25">
      <c r="A79" s="138"/>
      <c r="B79" s="139"/>
      <c r="C79" s="104"/>
      <c r="D79" s="144"/>
      <c r="E79" s="144"/>
      <c r="F79" s="86"/>
    </row>
    <row r="80" spans="1:6" x14ac:dyDescent="0.25">
      <c r="A80" s="134" t="s">
        <v>148</v>
      </c>
      <c r="B80" s="139"/>
      <c r="C80" s="104"/>
      <c r="D80" s="144"/>
      <c r="E80" s="144"/>
      <c r="F80" s="86"/>
    </row>
    <row r="81" spans="1:6" x14ac:dyDescent="0.25">
      <c r="A81" s="138" t="s">
        <v>149</v>
      </c>
      <c r="B81" s="139">
        <v>6.6199999999999995E-2</v>
      </c>
      <c r="C81" s="104"/>
      <c r="D81" s="144"/>
      <c r="E81" s="144"/>
      <c r="F81" s="86"/>
    </row>
    <row r="82" spans="1:6" x14ac:dyDescent="0.25">
      <c r="A82" s="138" t="s">
        <v>150</v>
      </c>
      <c r="B82" s="139">
        <v>2.8E-3</v>
      </c>
      <c r="C82" s="104"/>
      <c r="D82" s="144"/>
      <c r="E82" s="144"/>
      <c r="F82" s="86"/>
    </row>
    <row r="83" spans="1:6" x14ac:dyDescent="0.25">
      <c r="A83" s="140" t="s">
        <v>63</v>
      </c>
      <c r="B83" s="141">
        <f>SUM(B81:B82)</f>
        <v>6.8999999999999992E-2</v>
      </c>
      <c r="C83" s="104"/>
      <c r="D83" s="144"/>
      <c r="E83" s="144"/>
      <c r="F83" s="86"/>
    </row>
    <row r="84" spans="1:6" x14ac:dyDescent="0.25">
      <c r="A84" s="100"/>
      <c r="B84" s="100"/>
      <c r="C84" s="100"/>
      <c r="D84" s="144"/>
      <c r="E84" s="144"/>
      <c r="F84" s="100"/>
    </row>
    <row r="85" spans="1:6" x14ac:dyDescent="0.25">
      <c r="A85" s="140" t="s">
        <v>151</v>
      </c>
      <c r="B85" s="141">
        <f>B60+B70+B78+B83</f>
        <v>0.69289999999999996</v>
      </c>
      <c r="C85" s="143"/>
      <c r="D85" s="144"/>
      <c r="E85" s="144"/>
      <c r="F85" s="105"/>
    </row>
    <row r="86" spans="1:6" x14ac:dyDescent="0.25">
      <c r="A86" s="100"/>
      <c r="B86" s="100"/>
      <c r="C86" s="100"/>
      <c r="D86" s="101"/>
      <c r="E86" s="101"/>
      <c r="F86" s="100"/>
    </row>
    <row r="87" spans="1:6" x14ac:dyDescent="0.25">
      <c r="A87" s="145" t="s">
        <v>152</v>
      </c>
      <c r="B87" s="100"/>
      <c r="C87" s="100"/>
      <c r="D87" s="101"/>
      <c r="E87" s="101"/>
      <c r="F87" s="100"/>
    </row>
    <row r="88" spans="1:6" ht="15.75" thickBot="1" x14ac:dyDescent="0.3">
      <c r="A88" s="145"/>
      <c r="B88" s="100"/>
      <c r="C88" s="100"/>
      <c r="D88" s="101"/>
      <c r="E88" s="101"/>
      <c r="F88" s="100"/>
    </row>
    <row r="89" spans="1:6" x14ac:dyDescent="0.25">
      <c r="A89" s="146" t="s">
        <v>153</v>
      </c>
      <c r="B89" s="147" t="s">
        <v>154</v>
      </c>
      <c r="C89" s="148">
        <v>0</v>
      </c>
      <c r="D89" s="101"/>
      <c r="E89" s="101"/>
      <c r="F89" s="100"/>
    </row>
    <row r="90" spans="1:6" x14ac:dyDescent="0.25">
      <c r="A90" s="149" t="s">
        <v>155</v>
      </c>
      <c r="B90" s="110" t="s">
        <v>156</v>
      </c>
      <c r="C90" s="150">
        <v>0</v>
      </c>
      <c r="D90" s="151"/>
      <c r="E90" s="101"/>
      <c r="F90" s="100"/>
    </row>
    <row r="91" spans="1:6" x14ac:dyDescent="0.25">
      <c r="A91" s="149" t="s">
        <v>11</v>
      </c>
      <c r="B91" s="110" t="s">
        <v>157</v>
      </c>
      <c r="C91" s="150">
        <v>0</v>
      </c>
      <c r="D91" s="101"/>
      <c r="E91" s="101"/>
      <c r="F91" s="100"/>
    </row>
    <row r="92" spans="1:6" x14ac:dyDescent="0.25">
      <c r="A92" s="149" t="s">
        <v>158</v>
      </c>
      <c r="B92" s="110" t="s">
        <v>159</v>
      </c>
      <c r="C92" s="150">
        <v>0</v>
      </c>
      <c r="D92" s="101"/>
      <c r="E92" s="101"/>
      <c r="F92" s="100"/>
    </row>
    <row r="93" spans="1:6" x14ac:dyDescent="0.25">
      <c r="A93" s="152" t="s">
        <v>160</v>
      </c>
      <c r="B93" s="221" t="s">
        <v>161</v>
      </c>
      <c r="C93" s="150">
        <v>0</v>
      </c>
      <c r="D93" s="101"/>
      <c r="E93" s="101"/>
      <c r="F93" s="100"/>
    </row>
    <row r="94" spans="1:6" ht="15.75" thickBot="1" x14ac:dyDescent="0.3">
      <c r="A94" s="153" t="s">
        <v>162</v>
      </c>
      <c r="B94" s="222"/>
      <c r="C94" s="154">
        <v>0</v>
      </c>
      <c r="D94" s="101"/>
      <c r="E94" s="101"/>
      <c r="F94" s="100"/>
    </row>
    <row r="95" spans="1:6" x14ac:dyDescent="0.25">
      <c r="A95" s="155" t="s">
        <v>163</v>
      </c>
      <c r="B95" s="156"/>
      <c r="C95" s="157"/>
      <c r="D95" s="101"/>
      <c r="E95" s="101"/>
      <c r="F95" s="100"/>
    </row>
    <row r="96" spans="1:6" ht="15.75" thickBot="1" x14ac:dyDescent="0.3">
      <c r="A96" s="158" t="s">
        <v>164</v>
      </c>
      <c r="B96" s="159"/>
      <c r="C96" s="160"/>
      <c r="D96" s="101"/>
      <c r="E96" s="101"/>
      <c r="F96" s="100"/>
    </row>
    <row r="97" spans="1:6" ht="15.75" thickBot="1" x14ac:dyDescent="0.3">
      <c r="A97" s="161" t="s">
        <v>165</v>
      </c>
      <c r="B97" s="162"/>
      <c r="C97" s="163">
        <f>ROUND((((1+C89+C90)*(1+C91)*(1+C92))/(1-(C93+C94))-1),4)</f>
        <v>0</v>
      </c>
      <c r="D97" s="101"/>
      <c r="E97" s="101"/>
      <c r="F97" s="100"/>
    </row>
    <row r="98" spans="1:6" x14ac:dyDescent="0.25">
      <c r="A98" s="100"/>
      <c r="B98" s="100"/>
      <c r="C98" s="100"/>
      <c r="D98" s="101"/>
      <c r="E98" s="101"/>
      <c r="F98" s="100"/>
    </row>
  </sheetData>
  <mergeCells count="13">
    <mergeCell ref="B15:C15"/>
    <mergeCell ref="A2:D2"/>
    <mergeCell ref="A4:D9"/>
    <mergeCell ref="B12:C12"/>
    <mergeCell ref="B13:C13"/>
    <mergeCell ref="B14:C14"/>
    <mergeCell ref="A47:C47"/>
    <mergeCell ref="B93:B94"/>
    <mergeCell ref="B16:C16"/>
    <mergeCell ref="A20:C20"/>
    <mergeCell ref="A21:C21"/>
    <mergeCell ref="A31:C31"/>
    <mergeCell ref="A38:C3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E36"/>
  <sheetViews>
    <sheetView topLeftCell="A4" workbookViewId="0">
      <selection activeCell="D15" sqref="D15"/>
    </sheetView>
  </sheetViews>
  <sheetFormatPr defaultRowHeight="15" x14ac:dyDescent="0.25"/>
  <cols>
    <col min="2" max="2" width="24.5703125" bestFit="1" customWidth="1"/>
    <col min="3" max="3" width="16.7109375" customWidth="1"/>
    <col min="4" max="4" width="13.140625" bestFit="1" customWidth="1"/>
    <col min="5" max="5" width="209" bestFit="1" customWidth="1"/>
  </cols>
  <sheetData>
    <row r="1" spans="2:5" ht="15.75" thickBot="1" x14ac:dyDescent="0.3"/>
    <row r="2" spans="2:5" x14ac:dyDescent="0.25">
      <c r="B2" s="238" t="s">
        <v>182</v>
      </c>
      <c r="C2" s="239"/>
      <c r="D2" s="239"/>
      <c r="E2" s="240"/>
    </row>
    <row r="3" spans="2:5" x14ac:dyDescent="0.25">
      <c r="B3" s="25" t="s">
        <v>71</v>
      </c>
      <c r="C3" s="26" t="s">
        <v>72</v>
      </c>
      <c r="D3" s="27" t="s">
        <v>73</v>
      </c>
      <c r="E3" s="28" t="s">
        <v>74</v>
      </c>
    </row>
    <row r="4" spans="2:5" x14ac:dyDescent="0.25">
      <c r="B4" s="241" t="s">
        <v>75</v>
      </c>
      <c r="C4" s="29" t="s">
        <v>76</v>
      </c>
      <c r="D4" s="30">
        <v>0</v>
      </c>
      <c r="E4" s="74"/>
    </row>
    <row r="5" spans="2:5" x14ac:dyDescent="0.25">
      <c r="B5" s="241"/>
      <c r="C5" s="29" t="s">
        <v>76</v>
      </c>
      <c r="D5" s="30">
        <v>0</v>
      </c>
      <c r="E5" s="189"/>
    </row>
    <row r="6" spans="2:5" x14ac:dyDescent="0.25">
      <c r="B6" s="241"/>
      <c r="C6" s="29" t="s">
        <v>76</v>
      </c>
      <c r="D6" s="30">
        <v>0</v>
      </c>
      <c r="E6" s="74"/>
    </row>
    <row r="7" spans="2:5" ht="15.75" thickBot="1" x14ac:dyDescent="0.3">
      <c r="B7" s="31" t="s">
        <v>77</v>
      </c>
      <c r="C7" s="32"/>
      <c r="D7" s="33">
        <f>SUM(D4:D6)/3</f>
        <v>0</v>
      </c>
      <c r="E7" s="34"/>
    </row>
    <row r="8" spans="2:5" ht="15.75" thickBot="1" x14ac:dyDescent="0.3"/>
    <row r="9" spans="2:5" x14ac:dyDescent="0.25">
      <c r="B9" s="79" t="s">
        <v>78</v>
      </c>
      <c r="C9" s="242" t="s">
        <v>79</v>
      </c>
      <c r="D9" s="242"/>
      <c r="E9" s="243"/>
    </row>
    <row r="10" spans="2:5" x14ac:dyDescent="0.25">
      <c r="B10" s="16" t="s">
        <v>80</v>
      </c>
      <c r="C10" s="244" t="s">
        <v>82</v>
      </c>
      <c r="D10" s="245"/>
      <c r="E10" s="246"/>
    </row>
    <row r="11" spans="2:5" x14ac:dyDescent="0.25">
      <c r="B11" s="16" t="s">
        <v>81</v>
      </c>
      <c r="C11" s="247" t="s">
        <v>83</v>
      </c>
      <c r="D11" s="248"/>
      <c r="E11" s="249"/>
    </row>
    <row r="12" spans="2:5" x14ac:dyDescent="0.25">
      <c r="B12" s="16" t="s">
        <v>51</v>
      </c>
      <c r="C12" s="248" t="s">
        <v>92</v>
      </c>
      <c r="D12" s="248"/>
      <c r="E12" s="249"/>
    </row>
    <row r="13" spans="2:5" x14ac:dyDescent="0.25">
      <c r="B13" s="16" t="s">
        <v>52</v>
      </c>
      <c r="C13" s="247" t="s">
        <v>195</v>
      </c>
      <c r="D13" s="248"/>
      <c r="E13" s="249"/>
    </row>
    <row r="14" spans="2:5" x14ac:dyDescent="0.25">
      <c r="B14" s="16" t="s">
        <v>53</v>
      </c>
      <c r="C14" s="247" t="s">
        <v>92</v>
      </c>
      <c r="D14" s="248"/>
      <c r="E14" s="249"/>
    </row>
    <row r="15" spans="2:5" x14ac:dyDescent="0.25">
      <c r="B15" s="16" t="s">
        <v>187</v>
      </c>
      <c r="C15" s="184">
        <v>0</v>
      </c>
      <c r="D15" s="183" t="s">
        <v>188</v>
      </c>
      <c r="E15" s="182"/>
    </row>
    <row r="16" spans="2:5" x14ac:dyDescent="0.25">
      <c r="B16" s="16" t="s">
        <v>54</v>
      </c>
      <c r="C16" s="248" t="s">
        <v>202</v>
      </c>
      <c r="D16" s="248"/>
      <c r="E16" s="249"/>
    </row>
    <row r="17" spans="2:5" ht="47.25" customHeight="1" x14ac:dyDescent="0.25">
      <c r="B17" s="16" t="s">
        <v>84</v>
      </c>
      <c r="C17" s="82">
        <v>0</v>
      </c>
      <c r="D17" s="250"/>
      <c r="E17" s="251"/>
    </row>
    <row r="18" spans="2:5" ht="34.5" customHeight="1" x14ac:dyDescent="0.25">
      <c r="B18" s="16"/>
      <c r="C18" s="83">
        <v>0</v>
      </c>
      <c r="D18" s="80"/>
      <c r="E18" s="81"/>
    </row>
    <row r="19" spans="2:5" x14ac:dyDescent="0.25">
      <c r="B19" s="16"/>
      <c r="C19" s="83">
        <v>0</v>
      </c>
      <c r="D19" s="77"/>
      <c r="E19" s="78"/>
    </row>
    <row r="20" spans="2:5" x14ac:dyDescent="0.25">
      <c r="B20" s="16"/>
      <c r="C20" s="84">
        <f>SUM(C17:C19)/3</f>
        <v>0</v>
      </c>
      <c r="D20" s="77"/>
      <c r="E20" s="78"/>
    </row>
    <row r="21" spans="2:5" x14ac:dyDescent="0.25">
      <c r="B21" s="16" t="s">
        <v>85</v>
      </c>
      <c r="C21" s="82">
        <v>0</v>
      </c>
      <c r="D21" s="10"/>
      <c r="E21" s="23"/>
    </row>
    <row r="22" spans="2:5" x14ac:dyDescent="0.25">
      <c r="B22" s="16"/>
      <c r="C22" s="83">
        <v>0</v>
      </c>
      <c r="D22" s="77"/>
      <c r="E22" s="78"/>
    </row>
    <row r="23" spans="2:5" x14ac:dyDescent="0.25">
      <c r="B23" s="16"/>
      <c r="C23" s="83">
        <v>0</v>
      </c>
      <c r="D23" s="77"/>
      <c r="E23" s="78"/>
    </row>
    <row r="24" spans="2:5" x14ac:dyDescent="0.25">
      <c r="B24" s="16"/>
      <c r="C24" s="84">
        <f>SUM(C21:C23)/3</f>
        <v>0</v>
      </c>
      <c r="D24" s="77"/>
      <c r="E24" s="78"/>
    </row>
    <row r="25" spans="2:5" x14ac:dyDescent="0.25">
      <c r="B25" s="16" t="s">
        <v>194</v>
      </c>
      <c r="C25" s="180">
        <v>0</v>
      </c>
      <c r="D25" s="181"/>
      <c r="E25" s="182"/>
    </row>
    <row r="26" spans="2:5" x14ac:dyDescent="0.25">
      <c r="B26" s="16" t="s">
        <v>183</v>
      </c>
      <c r="C26" s="180">
        <v>0</v>
      </c>
      <c r="D26" s="77"/>
      <c r="E26" s="78"/>
    </row>
    <row r="27" spans="2:5" x14ac:dyDescent="0.25">
      <c r="B27" s="16" t="s">
        <v>97</v>
      </c>
      <c r="C27" s="85">
        <v>0</v>
      </c>
      <c r="D27" s="10" t="s">
        <v>98</v>
      </c>
      <c r="E27" s="23" t="s">
        <v>99</v>
      </c>
    </row>
    <row r="28" spans="2:5" x14ac:dyDescent="0.25">
      <c r="B28" s="16" t="s">
        <v>198</v>
      </c>
      <c r="C28" s="191">
        <v>0</v>
      </c>
      <c r="D28" s="10"/>
      <c r="E28" s="23"/>
    </row>
    <row r="29" spans="2:5" x14ac:dyDescent="0.25">
      <c r="B29" s="16"/>
      <c r="C29" s="191">
        <v>0</v>
      </c>
      <c r="D29" s="10"/>
      <c r="E29" s="23"/>
    </row>
    <row r="30" spans="2:5" ht="16.5" x14ac:dyDescent="0.25">
      <c r="B30" s="16"/>
      <c r="C30" s="191">
        <v>0</v>
      </c>
      <c r="D30" s="194"/>
      <c r="E30" s="23"/>
    </row>
    <row r="31" spans="2:5" ht="15.75" x14ac:dyDescent="0.25">
      <c r="B31" s="16"/>
      <c r="C31" s="190">
        <f>SUM(C28:C30)/3</f>
        <v>0</v>
      </c>
      <c r="D31" s="192" t="s">
        <v>199</v>
      </c>
      <c r="E31" s="23"/>
    </row>
    <row r="32" spans="2:5" ht="15.75" x14ac:dyDescent="0.25">
      <c r="B32" s="16" t="s">
        <v>200</v>
      </c>
      <c r="C32" s="193">
        <v>0</v>
      </c>
      <c r="D32" s="192"/>
      <c r="E32" s="23"/>
    </row>
    <row r="33" spans="2:5" x14ac:dyDescent="0.25">
      <c r="B33" s="16" t="s">
        <v>91</v>
      </c>
      <c r="C33" s="164">
        <v>28.33</v>
      </c>
      <c r="D33" s="10" t="s">
        <v>201</v>
      </c>
      <c r="E33" s="23"/>
    </row>
    <row r="34" spans="2:5" x14ac:dyDescent="0.25">
      <c r="B34" s="16" t="s">
        <v>95</v>
      </c>
      <c r="C34" s="10" t="s">
        <v>175</v>
      </c>
      <c r="D34" s="10"/>
      <c r="E34" s="23"/>
    </row>
    <row r="35" spans="2:5" x14ac:dyDescent="0.25">
      <c r="B35" s="165" t="s">
        <v>176</v>
      </c>
      <c r="C35" t="s">
        <v>177</v>
      </c>
      <c r="E35" s="178"/>
    </row>
    <row r="36" spans="2:5" ht="15.75" thickBot="1" x14ac:dyDescent="0.3">
      <c r="B36" s="179" t="s">
        <v>119</v>
      </c>
      <c r="C36" s="50" t="s">
        <v>177</v>
      </c>
      <c r="D36" s="50"/>
      <c r="E36" s="51"/>
    </row>
  </sheetData>
  <mergeCells count="10">
    <mergeCell ref="C12:E12"/>
    <mergeCell ref="C13:E13"/>
    <mergeCell ref="C14:E14"/>
    <mergeCell ref="C16:E16"/>
    <mergeCell ref="D17:E17"/>
    <mergeCell ref="B2:E2"/>
    <mergeCell ref="B4:B6"/>
    <mergeCell ref="C9:E9"/>
    <mergeCell ref="C10:E10"/>
    <mergeCell ref="C11:E11"/>
  </mergeCells>
  <hyperlinks>
    <hyperlink ref="C27" r:id="rId1" location=":~:text=O%20modelo%20lan%C3%A7ado%20em%202008,8%20a%2010%20km%2Fl." display="https://www.tabelafipeconsulta.com.br/marcopolo/volare/2008/#:~:text=O%20modelo%20lan%C3%A7ado%20em%202008,8%20a%2010%20km%2Fl."/>
    <hyperlink ref="C12" r:id="rId2"/>
    <hyperlink ref="C13" r:id="rId3"/>
    <hyperlink ref="C14" r:id="rId4"/>
    <hyperlink ref="C10" display="https://ibeta.tec.br/transporte-coletivo/depreciacao-no-custo-do-sistema-de-transporte-coletivo-impacto-na-tarifa-conforme-a-metodologia-adotada/#:~:text=Segundo%20essa%20instru%C3%A7%C3%A3o%2C%20a%20taxa,para%20fins%20de%20deprecia%C3%A7%C3%A3o%20cont%C3"/>
    <hyperlink ref="C11" r:id="rId5"/>
    <hyperlink ref="D15" r:id="rId6"/>
  </hyperlinks>
  <pageMargins left="0.511811024" right="0.511811024" top="0.78740157499999996" bottom="0.78740157499999996" header="0.31496062000000002" footer="0.31496062000000002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VEICULO 1.0</vt:lpstr>
      <vt:lpstr>mão de obra</vt:lpstr>
      <vt:lpstr>Referências</vt:lpstr>
      <vt:lpstr>'VEICULO 1.0'!Area_de_impressao</vt:lpstr>
    </vt:vector>
  </TitlesOfParts>
  <Company>Ministerio da integracao Nacional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Renata Tais Gureeriro Viera Fernandes</cp:lastModifiedBy>
  <cp:lastPrinted>2026-07-20T16:51:35Z</cp:lastPrinted>
  <dcterms:created xsi:type="dcterms:W3CDTF">2011-05-06T13:08:58Z</dcterms:created>
  <dcterms:modified xsi:type="dcterms:W3CDTF">2026-08-24T12:49:39Z</dcterms:modified>
</cp:coreProperties>
</file>