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pras 06 - CRISTIANE\Editais 2024\Pregão Eletrônico\PE 4 Passeios Públicos\"/>
    </mc:Choice>
  </mc:AlternateContent>
  <xr:revisionPtr revIDLastSave="0" documentId="8_{98DB6127-1144-46FD-AD8B-369542C159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" sheetId="6" r:id="rId1"/>
    <sheet name="CPU" sheetId="5" r:id="rId2"/>
    <sheet name="Insumos_MAT" sheetId="2" r:id="rId3"/>
    <sheet name="Insumos_MO" sheetId="4" r:id="rId4"/>
    <sheet name="Cotações" sheetId="1" r:id="rId5"/>
    <sheet name="Cronograma" sheetId="7" r:id="rId6"/>
  </sheets>
  <definedNames>
    <definedName name="_xlnm._FilterDatabase" localSheetId="1" hidden="1">CPU!$B$7:$P$8</definedName>
    <definedName name="_xlnm.Print_Area" localSheetId="4">Cotações!$A$1:$G$27</definedName>
    <definedName name="_xlnm.Print_Area" localSheetId="1">CPU!$A$1:$P$35</definedName>
    <definedName name="_xlnm.Print_Area" localSheetId="3">Insumos_MO!$A$1:$G$10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7" l="1"/>
  <c r="X9" i="7"/>
  <c r="C10" i="7"/>
  <c r="C9" i="7"/>
  <c r="H19" i="6" l="1"/>
  <c r="H18" i="6" l="1"/>
  <c r="H17" i="6"/>
  <c r="H15" i="6"/>
  <c r="N25" i="5" l="1"/>
  <c r="N24" i="5"/>
  <c r="D8" i="2" l="1"/>
  <c r="K21" i="6" l="1"/>
  <c r="K20" i="6"/>
  <c r="K19" i="6"/>
  <c r="K18" i="6"/>
  <c r="K22" i="6"/>
  <c r="K17" i="6"/>
  <c r="K16" i="6"/>
  <c r="K15" i="6"/>
  <c r="N10" i="5"/>
  <c r="K23" i="6"/>
  <c r="K12" i="6"/>
  <c r="K11" i="6"/>
  <c r="K10" i="6"/>
  <c r="M15" i="6" l="1"/>
  <c r="M19" i="6"/>
  <c r="L18" i="6"/>
  <c r="M20" i="6"/>
  <c r="J20" i="6"/>
  <c r="M21" i="6"/>
  <c r="J19" i="6"/>
  <c r="M18" i="6"/>
  <c r="L21" i="6"/>
  <c r="L16" i="6"/>
  <c r="J17" i="6"/>
  <c r="M16" i="6"/>
  <c r="L17" i="6"/>
  <c r="M11" i="6"/>
  <c r="M23" i="6"/>
  <c r="J23" i="6"/>
  <c r="J11" i="6"/>
  <c r="L20" i="6" l="1"/>
  <c r="N20" i="6" s="1"/>
  <c r="J21" i="6"/>
  <c r="L19" i="6"/>
  <c r="N19" i="6" s="1"/>
  <c r="N21" i="6"/>
  <c r="N18" i="6"/>
  <c r="J18" i="6"/>
  <c r="N16" i="6"/>
  <c r="J16" i="6"/>
  <c r="M17" i="6"/>
  <c r="N17" i="6" s="1"/>
  <c r="J15" i="6"/>
  <c r="L15" i="6"/>
  <c r="L23" i="6"/>
  <c r="N23" i="6" s="1"/>
  <c r="L11" i="6"/>
  <c r="N11" i="6" s="1"/>
  <c r="N15" i="6" l="1"/>
  <c r="M28" i="5" l="1"/>
  <c r="O28" i="5" s="1"/>
  <c r="L28" i="5"/>
  <c r="J28" i="5"/>
  <c r="G28" i="5"/>
  <c r="I28" i="5" s="1"/>
  <c r="F28" i="5"/>
  <c r="D28" i="5"/>
  <c r="M27" i="5"/>
  <c r="O27" i="5" s="1"/>
  <c r="L27" i="5"/>
  <c r="J27" i="5"/>
  <c r="G27" i="5"/>
  <c r="I27" i="5" s="1"/>
  <c r="F27" i="5"/>
  <c r="D27" i="5"/>
  <c r="M26" i="5"/>
  <c r="O26" i="5" s="1"/>
  <c r="L26" i="5"/>
  <c r="J26" i="5"/>
  <c r="G26" i="5"/>
  <c r="I26" i="5" s="1"/>
  <c r="F26" i="5"/>
  <c r="D26" i="5"/>
  <c r="M25" i="5"/>
  <c r="O25" i="5" s="1"/>
  <c r="L25" i="5"/>
  <c r="J25" i="5"/>
  <c r="G25" i="5"/>
  <c r="I25" i="5" s="1"/>
  <c r="F25" i="5"/>
  <c r="D25" i="5"/>
  <c r="M24" i="5"/>
  <c r="O24" i="5" s="1"/>
  <c r="L24" i="5"/>
  <c r="J24" i="5"/>
  <c r="G24" i="5"/>
  <c r="I24" i="5" s="1"/>
  <c r="F24" i="5"/>
  <c r="D24" i="5"/>
  <c r="Q23" i="5"/>
  <c r="M21" i="5"/>
  <c r="O21" i="5" s="1"/>
  <c r="L21" i="5"/>
  <c r="J21" i="5"/>
  <c r="G21" i="5"/>
  <c r="I21" i="5" s="1"/>
  <c r="F21" i="5"/>
  <c r="D21" i="5"/>
  <c r="M20" i="5"/>
  <c r="O20" i="5" s="1"/>
  <c r="L20" i="5"/>
  <c r="J20" i="5"/>
  <c r="G20" i="5"/>
  <c r="I20" i="5" s="1"/>
  <c r="F20" i="5"/>
  <c r="D20" i="5"/>
  <c r="M19" i="5"/>
  <c r="O19" i="5" s="1"/>
  <c r="L19" i="5"/>
  <c r="J19" i="5"/>
  <c r="G19" i="5"/>
  <c r="I19" i="5" s="1"/>
  <c r="F19" i="5"/>
  <c r="D19" i="5"/>
  <c r="M18" i="5"/>
  <c r="O18" i="5" s="1"/>
  <c r="L18" i="5"/>
  <c r="J18" i="5"/>
  <c r="G18" i="5"/>
  <c r="I18" i="5" s="1"/>
  <c r="F18" i="5"/>
  <c r="D18" i="5"/>
  <c r="M17" i="5"/>
  <c r="O17" i="5" s="1"/>
  <c r="L17" i="5"/>
  <c r="J17" i="5"/>
  <c r="F17" i="5"/>
  <c r="Q16" i="5"/>
  <c r="Q9" i="5"/>
  <c r="I23" i="5" l="1"/>
  <c r="H22" i="6" s="1"/>
  <c r="O23" i="5"/>
  <c r="I22" i="6" s="1"/>
  <c r="M22" i="6" s="1"/>
  <c r="M24" i="6" s="1"/>
  <c r="O16" i="5"/>
  <c r="I12" i="6" s="1"/>
  <c r="M12" i="6" s="1"/>
  <c r="L22" i="6" l="1"/>
  <c r="J22" i="6"/>
  <c r="P23" i="5"/>
  <c r="N22" i="6" l="1"/>
  <c r="N24" i="6" s="1"/>
  <c r="L24" i="6"/>
  <c r="U14" i="7"/>
  <c r="O32" i="5"/>
  <c r="G10" i="7" l="1"/>
  <c r="M10" i="7"/>
  <c r="O10" i="7"/>
  <c r="S10" i="7"/>
  <c r="I10" i="7"/>
  <c r="K10" i="7"/>
  <c r="Q10" i="7"/>
  <c r="M28" i="6"/>
  <c r="M14" i="5" l="1"/>
  <c r="O14" i="5" s="1"/>
  <c r="L14" i="5"/>
  <c r="J14" i="5"/>
  <c r="G14" i="5"/>
  <c r="I14" i="5" s="1"/>
  <c r="F14" i="5"/>
  <c r="D14" i="5"/>
  <c r="M13" i="5"/>
  <c r="O13" i="5" s="1"/>
  <c r="L13" i="5"/>
  <c r="J13" i="5"/>
  <c r="G13" i="5"/>
  <c r="I13" i="5" s="1"/>
  <c r="F13" i="5"/>
  <c r="D13" i="5"/>
  <c r="M12" i="5"/>
  <c r="O12" i="5" s="1"/>
  <c r="L12" i="5"/>
  <c r="J12" i="5"/>
  <c r="G12" i="5"/>
  <c r="I12" i="5" s="1"/>
  <c r="F12" i="5"/>
  <c r="D12" i="5"/>
  <c r="M11" i="5"/>
  <c r="O11" i="5" s="1"/>
  <c r="L11" i="5"/>
  <c r="J11" i="5"/>
  <c r="G11" i="5"/>
  <c r="I11" i="5" s="1"/>
  <c r="F11" i="5"/>
  <c r="D11" i="5"/>
  <c r="M10" i="5"/>
  <c r="O10" i="5" s="1"/>
  <c r="L10" i="5"/>
  <c r="J10" i="5"/>
  <c r="G10" i="5"/>
  <c r="I10" i="5" s="1"/>
  <c r="F10" i="5"/>
  <c r="D10" i="5"/>
  <c r="G7" i="1"/>
  <c r="E8" i="2" s="1"/>
  <c r="G17" i="5" s="1"/>
  <c r="I17" i="5" s="1"/>
  <c r="I16" i="5" s="1"/>
  <c r="G14" i="1"/>
  <c r="G21" i="1"/>
  <c r="H21" i="1"/>
  <c r="H14" i="1"/>
  <c r="H7" i="1"/>
  <c r="G8" i="2" s="1"/>
  <c r="D17" i="5" s="1"/>
  <c r="H12" i="6" l="1"/>
  <c r="P16" i="5"/>
  <c r="I9" i="5"/>
  <c r="H10" i="6" s="1"/>
  <c r="O9" i="5"/>
  <c r="I10" i="6" s="1"/>
  <c r="M10" i="6" s="1"/>
  <c r="J12" i="6" l="1"/>
  <c r="L12" i="6"/>
  <c r="N12" i="6" s="1"/>
  <c r="L10" i="6"/>
  <c r="N10" i="6" s="1"/>
  <c r="J10" i="6"/>
  <c r="W10" i="7"/>
  <c r="U10" i="7"/>
  <c r="E10" i="7"/>
  <c r="M13" i="6"/>
  <c r="M25" i="6" s="1"/>
  <c r="P9" i="5"/>
  <c r="N13" i="6" l="1"/>
  <c r="L13" i="6"/>
  <c r="L25" i="6" s="1"/>
  <c r="N25" i="6" l="1"/>
  <c r="G9" i="7"/>
  <c r="G11" i="7" s="1"/>
  <c r="F11" i="7" s="1"/>
  <c r="S9" i="7"/>
  <c r="S11" i="7" s="1"/>
  <c r="R11" i="7" s="1"/>
  <c r="I9" i="7"/>
  <c r="I11" i="7" s="1"/>
  <c r="H11" i="7" s="1"/>
  <c r="K9" i="7"/>
  <c r="K11" i="7" s="1"/>
  <c r="J11" i="7" s="1"/>
  <c r="M9" i="7"/>
  <c r="M11" i="7" s="1"/>
  <c r="L11" i="7" s="1"/>
  <c r="O9" i="7"/>
  <c r="O11" i="7" s="1"/>
  <c r="N11" i="7" s="1"/>
  <c r="Q9" i="7"/>
  <c r="Q11" i="7" s="1"/>
  <c r="P11" i="7" s="1"/>
  <c r="W9" i="7"/>
  <c r="U9" i="7"/>
  <c r="E9" i="7"/>
  <c r="E11" i="7" l="1"/>
  <c r="D11" i="7" s="1"/>
  <c r="D12" i="7" s="1"/>
  <c r="W11" i="7"/>
  <c r="V11" i="7" s="1"/>
  <c r="U11" i="7"/>
  <c r="T11" i="7" s="1"/>
  <c r="E12" i="7" l="1"/>
  <c r="G12" i="7" l="1"/>
  <c r="I12" i="7" l="1"/>
  <c r="F12" i="7"/>
  <c r="K12" i="7" l="1"/>
  <c r="H12" i="7"/>
  <c r="M12" i="7" l="1"/>
  <c r="J12" i="7"/>
  <c r="O12" i="7" l="1"/>
  <c r="L12" i="7"/>
  <c r="Q12" i="7" l="1"/>
  <c r="N12" i="7"/>
  <c r="S12" i="7" l="1"/>
  <c r="P12" i="7"/>
  <c r="U12" i="7" l="1"/>
  <c r="R12" i="7"/>
  <c r="T12" i="7" l="1"/>
  <c r="W12" i="7"/>
  <c r="V12" i="7" s="1"/>
</calcChain>
</file>

<file path=xl/sharedStrings.xml><?xml version="1.0" encoding="utf-8"?>
<sst xmlns="http://schemas.openxmlformats.org/spreadsheetml/2006/main" count="273" uniqueCount="133">
  <si>
    <t>Endereço: RUA GAL. FLORES DA CUNHA, 245 - TRIUNFO</t>
  </si>
  <si>
    <t>CÓDIGO</t>
  </si>
  <si>
    <t>CONTATO</t>
  </si>
  <si>
    <t>UNIDADE</t>
  </si>
  <si>
    <t>DATA BASE</t>
  </si>
  <si>
    <t>VALOR COTADO</t>
  </si>
  <si>
    <t>UND</t>
  </si>
  <si>
    <t>CNPJ</t>
  </si>
  <si>
    <t>NOME DA EMPRESA FORNECEDORA</t>
  </si>
  <si>
    <t>DATA COTAÇÃO</t>
  </si>
  <si>
    <t>PREÇO</t>
  </si>
  <si>
    <t>TELEFONE / LINK</t>
  </si>
  <si>
    <t>DESCRIÇÃO DO SERVIÇO OU FORNECIMENTO</t>
  </si>
  <si>
    <r>
      <t xml:space="preserve">Cliente: </t>
    </r>
    <r>
      <rPr>
        <u/>
        <sz val="12"/>
        <color theme="1"/>
        <rFont val="Calibri"/>
        <family val="2"/>
        <scheme val="minor"/>
      </rPr>
      <t>PREFEITURA MUNICIPAL DE TRIUNFO</t>
    </r>
  </si>
  <si>
    <t>PREÇOS UNITÁRIOS - MATERIAIS</t>
  </si>
  <si>
    <t>ITEM</t>
  </si>
  <si>
    <t>DISCRIMINAÇÃO</t>
  </si>
  <si>
    <t>REFERÊNCIA</t>
  </si>
  <si>
    <t>P. UNIT.</t>
  </si>
  <si>
    <t>PREÇOS UNITÁRIOS - MÃO DE OBRA</t>
  </si>
  <si>
    <t>SERVIÇO</t>
  </si>
  <si>
    <t>UND. / REF.</t>
  </si>
  <si>
    <t>MATERIAL</t>
  </si>
  <si>
    <t>CUSTO</t>
  </si>
  <si>
    <t>COEF.</t>
  </si>
  <si>
    <t>TOTAL MAT</t>
  </si>
  <si>
    <t>REF.</t>
  </si>
  <si>
    <t>MÃO DE OBRA</t>
  </si>
  <si>
    <t xml:space="preserve">CUSTO </t>
  </si>
  <si>
    <t>TOTAL MO</t>
  </si>
  <si>
    <t>TOTAL COMPOSIÇÃO</t>
  </si>
  <si>
    <t>COMPOSIÇÕES DE CUSTO - SEM BDI</t>
  </si>
  <si>
    <t>CUSTO MATERIAL</t>
  </si>
  <si>
    <t>CUSTO MÃO DE OBRA</t>
  </si>
  <si>
    <t>PLANILHA DE ORÇAMENTO GLOBAL</t>
  </si>
  <si>
    <t>DESCRIÇÃO</t>
  </si>
  <si>
    <t>QTD</t>
  </si>
  <si>
    <t>TOTAL</t>
  </si>
  <si>
    <t>BDI</t>
  </si>
  <si>
    <t>FONTE REFER.</t>
  </si>
  <si>
    <t>VALOR UNITÁRIO</t>
  </si>
  <si>
    <t>VALOR TOTAL COM BDI</t>
  </si>
  <si>
    <t>1.1</t>
  </si>
  <si>
    <t>1.2</t>
  </si>
  <si>
    <t>PRÓPRIA</t>
  </si>
  <si>
    <t>M2</t>
  </si>
  <si>
    <t>M</t>
  </si>
  <si>
    <t>SUBTOTAL ITEM 1:</t>
  </si>
  <si>
    <t>SUBTOTAL ITEM 2:</t>
  </si>
  <si>
    <t>2.1</t>
  </si>
  <si>
    <t>M3</t>
  </si>
  <si>
    <t>H</t>
  </si>
  <si>
    <t>SINAPI - COMPOSIÇÃO</t>
  </si>
  <si>
    <t>SERVENTE COM ENCARGOS COMPLEMENTARES</t>
  </si>
  <si>
    <t>TOTAL DO ORÇAMENTO:</t>
  </si>
  <si>
    <t>Observações:</t>
  </si>
  <si>
    <t>Triunfo/RS,</t>
  </si>
  <si>
    <t>M3XKM</t>
  </si>
  <si>
    <t>CRONOGRAMA</t>
  </si>
  <si>
    <t>30 DIAS</t>
  </si>
  <si>
    <t>VALOR (R$)</t>
  </si>
  <si>
    <t>% EXECUÇÃO</t>
  </si>
  <si>
    <t>60 DIAS</t>
  </si>
  <si>
    <t>TOTAL DA ETAPA</t>
  </si>
  <si>
    <t>TOTAL ACUMULADO</t>
  </si>
  <si>
    <t>90 DIAS</t>
  </si>
  <si>
    <t>- Encargos Sociais: 112,77%</t>
  </si>
  <si>
    <t>1.3</t>
  </si>
  <si>
    <t>CP-01</t>
  </si>
  <si>
    <t xml:space="preserve">- BDI: </t>
  </si>
  <si>
    <t>CP-02</t>
  </si>
  <si>
    <t>CP-03</t>
  </si>
  <si>
    <t>PEDREIRO COM ENCARGOS COMPLEMENTARES</t>
  </si>
  <si>
    <t>COTAÇÃO</t>
  </si>
  <si>
    <t>COTAÇÃO 01</t>
  </si>
  <si>
    <t>COTAÇÃO 02</t>
  </si>
  <si>
    <t>COTAÇÃO 03</t>
  </si>
  <si>
    <t>Cronograma - Data: Novembro de 2023</t>
  </si>
  <si>
    <t>Demostrativo de Cotações - Data: Novembro de 2023</t>
  </si>
  <si>
    <t>Preços Unitários (Mão de Obra) - Data: Novembro de 2023</t>
  </si>
  <si>
    <t>Preços Unitários (Materiais) - Data: Novembro de 2023</t>
  </si>
  <si>
    <t>Composições de Custo - Data: Novembro de 2023</t>
  </si>
  <si>
    <t>Planilha de Orçamento Global - Data: Novembro de 2023</t>
  </si>
  <si>
    <t>CALÇADAS - LAJE GRÊS</t>
  </si>
  <si>
    <t>CALÇADAS - CONCRETO</t>
  </si>
  <si>
    <t>2.2</t>
  </si>
  <si>
    <t>2.3</t>
  </si>
  <si>
    <t>2.4</t>
  </si>
  <si>
    <t>2.5</t>
  </si>
  <si>
    <t>2.6</t>
  </si>
  <si>
    <t>2.7</t>
  </si>
  <si>
    <t>2.8</t>
  </si>
  <si>
    <t>2.9</t>
  </si>
  <si>
    <t>LIMPEZA MECANIZADA DE CAMADA VEGETAL</t>
  </si>
  <si>
    <t>COMPACTAÇÃO MECÂNICA DE SOLO PARA EXECUÇÃO DE RADIER, PISO DE CONCRETO OU LAJE SOBRE SOLO, COM COMPACTADOR DE SOLOS TIPO PLACA VIBRATÓRIA</t>
  </si>
  <si>
    <t>LASTRO COM MATERIAL GRANULAR, APLICADO EM PISOS OU LAJES SOBRE SOLO, ESPESSURA DE 5 CM</t>
  </si>
  <si>
    <t>ASSENTAMENTO DE LAJE GRÊS PARA CALÇADA - INCLUSIVE LASTRO DE AREIA DE 5 CM E JUNTAS PREENCHIDAS COM ARGAMASSA</t>
  </si>
  <si>
    <t>TRANSPORTE COM CAMINHÃO BASCULANTE DE 18 M³, EM VIA URBANA PAVIMENTADA - DMT 10KM</t>
  </si>
  <si>
    <t>EXECUÇÃO DE PASSEIO (CALÇADA) OU PISO DE CONCRETO COM CONCRETO MOLDADO IN LOCO, USINADO, ACABAMENTO CONVENCIONAL, NÃO ARMADO</t>
  </si>
  <si>
    <t>PISO PODOTÁTIL, DIRECIONAL OU ALERTA, ASSENTADO SOBRE ARGAMASSA</t>
  </si>
  <si>
    <t>ASSENTAMENTO DE GUIA (MEIO-FIO) EM TRECHO RETO, CONFECCIONADA EM CONCRETO PRÉ-FABRICADO, DIMENSÕES 100X15X13X30 CM</t>
  </si>
  <si>
    <t>ARMAÇÃO COM TELA Q-196 EM ACESSOS DE CALÇADAS</t>
  </si>
  <si>
    <t>EXECUÇÃO DE JUNTAS DE CONTRAÇÃO PARA PAVIMENTOS DE CONCRETO</t>
  </si>
  <si>
    <t>REMOÇÃO DE CALÇADAS DE LAJE GRÊS, SEM REAPROVEITAMENTO</t>
  </si>
  <si>
    <t>CALCETEIRO COM ENCARGOS COMPLEMENTARES</t>
  </si>
  <si>
    <t>SINAPI</t>
  </si>
  <si>
    <t>Obra: Execução de Pavimentação em Passeios Públicos</t>
  </si>
  <si>
    <t>TELA DE AÇO SOLDADA NERVURADA, CA-60, Q-196 (3,11 KG/M2), DIÂMETRO DO FIO = 5,0 MM, LARGURA = 2,45 M, ESPAÇAMENTO DA MALHA = 10 X 10 CM</t>
  </si>
  <si>
    <t>- Análoga SINAPI 97635</t>
  </si>
  <si>
    <t>- Análoga SINAPI 98679</t>
  </si>
  <si>
    <t>AREIA MÉDIA - POSTO JAZIDA/FORNECEDOR (RETIRADO NA JAZIDA, SEM TRANSPORTE)</t>
  </si>
  <si>
    <t>ARGAMASSA TRAÇO 1:3 (EM VOLUME DE CIMENTO E AREIA MÉDIA ÚMIDA) PARA CONTRAPISO, PREPARO MECÂNICO COM BETONEIRA 400 L</t>
  </si>
  <si>
    <t>LICITACON</t>
  </si>
  <si>
    <t>https://portal.tce.rs.gov.br/aplicprod/f?p=50500:10:::NO:10:P10_ID_LICITACAO,P10_PAG_RETORNO,F50500_CD_ORGAO:1088138,14,42400&amp;cs=18EzQbjp-v3MQMFA_iS9HCkGKVqE</t>
  </si>
  <si>
    <t>OBRAS &amp; OBRAS MATERIAIS PARA CONSTRUÇÃO LTDA</t>
  </si>
  <si>
    <t>05.310.531/0001-02</t>
  </si>
  <si>
    <t>IVANIR RAMPANELLI EIRELI</t>
  </si>
  <si>
    <t>08.926.733/0001-63</t>
  </si>
  <si>
    <t>https://portal.tce.rs.gov.br/aplicprod/f?p=50500:10:::NO:10:P10_ID_LICITACAO,P10_PAG_RETORNO,F50500_CD_ORGAO:1067563,14,48200&amp;cs=1r1llDWG-qfsFhelxxoeTV3RdzjI</t>
  </si>
  <si>
    <t>https://portal.tce.rs.gov.br/aplicprod/f?p=50500:10:::NO:10:P10_ID_LICITACAO,P10_PAG_RETORNO:1024547,19&amp;cs=1qq_CS9s4z7XfgVHyToRNtPPvkQw</t>
  </si>
  <si>
    <t>PELLISOLI MATERIAIS DE CONSTRUÇÃO LTDA</t>
  </si>
  <si>
    <t>05.745.632/0001-06</t>
  </si>
  <si>
    <t>LAJE GRÊS ARENÍTICA,  1,00 X 0,50 M, ESPESSURA DE 4 A 5 CM, DO TIPO DURA, COM ARESTAS VIVAS E SEM SINAL DE DECOMPOSIÇÃO</t>
  </si>
  <si>
    <t>- Análoga SINAPI 94992</t>
  </si>
  <si>
    <t>- Data Base: SINAPI Não-Desonerado 10/23</t>
  </si>
  <si>
    <t>120 DIAS</t>
  </si>
  <si>
    <t>150 DIAS</t>
  </si>
  <si>
    <t>180 DIAS</t>
  </si>
  <si>
    <t>210 DIAS</t>
  </si>
  <si>
    <t>240 DIAS</t>
  </si>
  <si>
    <t>270 DIAS</t>
  </si>
  <si>
    <t>300 DIAS</t>
  </si>
  <si>
    <t>- Responsável Técnico: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</si>
</sst>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&quot;R$&quot;\ #,##0.00"/>
    <numFmt numFmtId="165" formatCode="0.0000"/>
    <numFmt numFmtId="166" formatCode="_-&quot;R$&quot;\ * #,##0.0000_-;\-&quot;R$&quot;\ * #,##0.0000_-;_-&quot;R$&quot;\ * &quot;-&quot;????_-;_-@_-"/>
    <numFmt numFmtId="167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0" borderId="0" xfId="0" applyFont="1"/>
    <xf numFmtId="44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9" fillId="3" borderId="3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10" fontId="2" fillId="0" borderId="1" xfId="2" applyNumberFormat="1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3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167" fontId="3" fillId="0" borderId="0" xfId="0" applyNumberFormat="1" applyFont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indent="10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324970</xdr:colOff>
      <xdr:row>4</xdr:row>
      <xdr:rowOff>258487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01B6F4-5744-4288-88D6-35E8F683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2</xdr:col>
      <xdr:colOff>212912</xdr:colOff>
      <xdr:row>4</xdr:row>
      <xdr:rowOff>258486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3CF1CA-99F2-4A8F-B796-EC16093C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118" y="190499"/>
          <a:ext cx="896470" cy="103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36B64C-BFFF-4832-B811-9B87F3A68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190500"/>
          <a:ext cx="694677" cy="784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D0A25C-FE85-4855-938D-9783459C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33617</xdr:rowOff>
    </xdr:from>
    <xdr:to>
      <xdr:col>1</xdr:col>
      <xdr:colOff>732778</xdr:colOff>
      <xdr:row>4</xdr:row>
      <xdr:rowOff>31414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738105-C89C-4504-81B8-1B894803D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736" y="224117"/>
          <a:ext cx="699160" cy="804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1</xdr:row>
      <xdr:rowOff>33618</xdr:rowOff>
    </xdr:from>
    <xdr:to>
      <xdr:col>2</xdr:col>
      <xdr:colOff>123178</xdr:colOff>
      <xdr:row>4</xdr:row>
      <xdr:rowOff>11245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748370-6C25-458D-A7E9-C164063A1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3218" y="195543"/>
          <a:ext cx="699160" cy="7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tce.rs.gov.br/aplicprod/f?p=50500:10:::NO:10:P10_ID_LICITACAO,P10_PAG_RETORNO:1024547,19&amp;cs=1qq_CS9s4z7XfgVHyToRNtPPvkQw" TargetMode="External"/><Relationship Id="rId2" Type="http://schemas.openxmlformats.org/officeDocument/2006/relationships/hyperlink" Target="https://portal.tce.rs.gov.br/aplicprod/f?p=50500:10:::NO:10:P10_ID_LICITACAO,P10_PAG_RETORNO,F50500_CD_ORGAO:1067563,14,48200&amp;cs=1r1llDWG-qfsFhelxxoeTV3RdzjI" TargetMode="External"/><Relationship Id="rId1" Type="http://schemas.openxmlformats.org/officeDocument/2006/relationships/hyperlink" Target="https://portal.tce.rs.gov.br/aplicprod/f?p=50500:10:::NO:10:P10_ID_LICITACAO,P10_PAG_RETORNO,F50500_CD_ORGAO:1088138,14,42400&amp;cs=18EzQbjp-v3MQMFA_iS9HCkGKVqE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1"/>
  <sheetViews>
    <sheetView showGridLines="0" tabSelected="1" view="pageBreakPreview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3" width="13.85546875" style="2" customWidth="1"/>
    <col min="4" max="4" width="9" style="2" customWidth="1"/>
    <col min="5" max="5" width="71.42578125" style="2" customWidth="1"/>
    <col min="6" max="6" width="13.85546875" style="2" customWidth="1"/>
    <col min="7" max="7" width="9.140625" style="2"/>
    <col min="8" max="8" width="18.42578125" style="2" customWidth="1"/>
    <col min="9" max="10" width="18.28515625" style="2" customWidth="1"/>
    <col min="11" max="11" width="9.140625" style="2"/>
    <col min="12" max="14" width="18.28515625" style="2" customWidth="1"/>
    <col min="15" max="16384" width="9.140625" style="2"/>
  </cols>
  <sheetData>
    <row r="2" spans="2:14" ht="21" customHeight="1" x14ac:dyDescent="0.25">
      <c r="B2" s="57" t="s">
        <v>82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</row>
    <row r="3" spans="2:14" ht="21" customHeight="1" x14ac:dyDescent="0.25">
      <c r="B3" s="60" t="s">
        <v>106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</row>
    <row r="4" spans="2:14" ht="21" customHeight="1" x14ac:dyDescent="0.25">
      <c r="B4" s="60" t="s">
        <v>13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2:14" ht="21" customHeight="1" x14ac:dyDescent="0.25">
      <c r="B5" s="63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</row>
    <row r="6" spans="2:14" ht="15.75" x14ac:dyDescent="0.25">
      <c r="B6" s="66" t="s">
        <v>34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2:14" ht="15" customHeight="1" x14ac:dyDescent="0.25">
      <c r="B7" s="67" t="s">
        <v>15</v>
      </c>
      <c r="C7" s="67" t="s">
        <v>39</v>
      </c>
      <c r="D7" s="67" t="s">
        <v>1</v>
      </c>
      <c r="E7" s="67" t="s">
        <v>35</v>
      </c>
      <c r="F7" s="67" t="s">
        <v>36</v>
      </c>
      <c r="G7" s="67" t="s">
        <v>6</v>
      </c>
      <c r="H7" s="67" t="s">
        <v>40</v>
      </c>
      <c r="I7" s="67"/>
      <c r="J7" s="67"/>
      <c r="K7" s="67" t="s">
        <v>38</v>
      </c>
      <c r="L7" s="67" t="s">
        <v>41</v>
      </c>
      <c r="M7" s="67"/>
      <c r="N7" s="67"/>
    </row>
    <row r="8" spans="2:14" x14ac:dyDescent="0.25">
      <c r="B8" s="67"/>
      <c r="C8" s="67"/>
      <c r="D8" s="67"/>
      <c r="E8" s="67"/>
      <c r="F8" s="67"/>
      <c r="G8" s="67"/>
      <c r="H8" s="16" t="s">
        <v>22</v>
      </c>
      <c r="I8" s="16" t="s">
        <v>27</v>
      </c>
      <c r="J8" s="16" t="s">
        <v>37</v>
      </c>
      <c r="K8" s="67"/>
      <c r="L8" s="16" t="s">
        <v>22</v>
      </c>
      <c r="M8" s="16" t="s">
        <v>27</v>
      </c>
      <c r="N8" s="16" t="s">
        <v>37</v>
      </c>
    </row>
    <row r="9" spans="2:14" x14ac:dyDescent="0.25">
      <c r="B9" s="28">
        <v>1</v>
      </c>
      <c r="C9" s="51" t="s">
        <v>83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2:14" x14ac:dyDescent="0.25">
      <c r="B10" s="7" t="s">
        <v>42</v>
      </c>
      <c r="C10" s="7" t="s">
        <v>44</v>
      </c>
      <c r="D10" s="7" t="s">
        <v>68</v>
      </c>
      <c r="E10" s="18" t="s">
        <v>103</v>
      </c>
      <c r="F10" s="29">
        <v>9400</v>
      </c>
      <c r="G10" s="7" t="s">
        <v>45</v>
      </c>
      <c r="H10" s="21">
        <f>IFERROR(IF($C10="PRÓPRIA",VLOOKUP($E10,CPU!$C$9:Q4977,7,0),0),0)</f>
        <v>0</v>
      </c>
      <c r="I10" s="21">
        <f>IFERROR(IF($C10="PRÓPRIA",VLOOKUP($E10,CPU!$C$9:Q4977,13,0),0),0)</f>
        <v>10.28</v>
      </c>
      <c r="J10" s="21">
        <f t="shared" ref="J10:J12" si="0">IFERROR(H10+I10,0)</f>
        <v>10.28</v>
      </c>
      <c r="K10" s="30">
        <f>$C$30</f>
        <v>0.23380000000000001</v>
      </c>
      <c r="L10" s="21">
        <f t="shared" ref="L10:L12" si="1">IFERROR(TRUNC((1+$K10)*$F10*H10,2),0)</f>
        <v>0</v>
      </c>
      <c r="M10" s="21">
        <f t="shared" ref="M10:M12" si="2">IFERROR(TRUNC((1+$K10)*$F10*I10,2),0)</f>
        <v>119224.56</v>
      </c>
      <c r="N10" s="21">
        <f t="shared" ref="N10:N12" si="3">IFERROR(L10+M10,0)</f>
        <v>119224.56</v>
      </c>
    </row>
    <row r="11" spans="2:14" ht="25.5" x14ac:dyDescent="0.25">
      <c r="B11" s="7" t="s">
        <v>43</v>
      </c>
      <c r="C11" s="7" t="s">
        <v>105</v>
      </c>
      <c r="D11" s="7">
        <v>97084</v>
      </c>
      <c r="E11" s="18" t="s">
        <v>94</v>
      </c>
      <c r="F11" s="29">
        <v>18800</v>
      </c>
      <c r="G11" s="7" t="s">
        <v>45</v>
      </c>
      <c r="H11" s="21">
        <v>0.16</v>
      </c>
      <c r="I11" s="21">
        <v>0.53</v>
      </c>
      <c r="J11" s="21">
        <f t="shared" si="0"/>
        <v>0.69000000000000006</v>
      </c>
      <c r="K11" s="30">
        <f>$C$30</f>
        <v>0.23380000000000001</v>
      </c>
      <c r="L11" s="21">
        <f t="shared" si="1"/>
        <v>3711.27</v>
      </c>
      <c r="M11" s="21">
        <f t="shared" si="2"/>
        <v>12293.58</v>
      </c>
      <c r="N11" s="21">
        <f t="shared" si="3"/>
        <v>16004.85</v>
      </c>
    </row>
    <row r="12" spans="2:14" ht="25.5" x14ac:dyDescent="0.25">
      <c r="B12" s="7" t="s">
        <v>67</v>
      </c>
      <c r="C12" s="7" t="s">
        <v>44</v>
      </c>
      <c r="D12" s="7" t="s">
        <v>70</v>
      </c>
      <c r="E12" s="18" t="s">
        <v>96</v>
      </c>
      <c r="F12" s="29">
        <v>18800</v>
      </c>
      <c r="G12" s="7" t="s">
        <v>45</v>
      </c>
      <c r="H12" s="21">
        <f>IFERROR(IF($C12="PRÓPRIA",VLOOKUP($E12,CPU!$C$9:Q4980,7,0),0),0)</f>
        <v>81.55</v>
      </c>
      <c r="I12" s="21">
        <f>IFERROR(IF($C12="PRÓPRIA",VLOOKUP($E12,CPU!$C$9:Q4980,13,0),0),0)</f>
        <v>13.34</v>
      </c>
      <c r="J12" s="21">
        <f t="shared" si="0"/>
        <v>94.89</v>
      </c>
      <c r="K12" s="30">
        <f>$C$30</f>
        <v>0.23380000000000001</v>
      </c>
      <c r="L12" s="21">
        <f t="shared" si="1"/>
        <v>1891588.13</v>
      </c>
      <c r="M12" s="21">
        <f t="shared" si="2"/>
        <v>309427.15999999997</v>
      </c>
      <c r="N12" s="21">
        <f t="shared" si="3"/>
        <v>2201015.29</v>
      </c>
    </row>
    <row r="13" spans="2:14" x14ac:dyDescent="0.25">
      <c r="B13" s="53" t="s">
        <v>47</v>
      </c>
      <c r="C13" s="53"/>
      <c r="D13" s="53"/>
      <c r="E13" s="53"/>
      <c r="F13" s="53"/>
      <c r="G13" s="53"/>
      <c r="H13" s="53"/>
      <c r="I13" s="53"/>
      <c r="J13" s="53"/>
      <c r="K13" s="53"/>
      <c r="L13" s="31">
        <f>SUM(L10:L12)</f>
        <v>1895299.4</v>
      </c>
      <c r="M13" s="31">
        <f>SUM(M10:M12)</f>
        <v>440945.29999999993</v>
      </c>
      <c r="N13" s="31">
        <f>SUM(N10:N12)</f>
        <v>2336244.7000000002</v>
      </c>
    </row>
    <row r="14" spans="2:14" x14ac:dyDescent="0.25">
      <c r="B14" s="28">
        <v>2</v>
      </c>
      <c r="C14" s="51" t="s">
        <v>84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2:14" x14ac:dyDescent="0.25">
      <c r="B15" s="7" t="s">
        <v>49</v>
      </c>
      <c r="C15" s="7" t="s">
        <v>105</v>
      </c>
      <c r="D15" s="7">
        <v>98525</v>
      </c>
      <c r="E15" s="18" t="s">
        <v>93</v>
      </c>
      <c r="F15" s="29">
        <v>40000</v>
      </c>
      <c r="G15" s="7" t="s">
        <v>45</v>
      </c>
      <c r="H15" s="21">
        <f>0.17+0.03</f>
        <v>0.2</v>
      </c>
      <c r="I15" s="21">
        <v>0.24</v>
      </c>
      <c r="J15" s="21">
        <f t="shared" ref="J15:J22" si="4">IFERROR(H15+I15,0)</f>
        <v>0.44</v>
      </c>
      <c r="K15" s="30">
        <f t="shared" ref="K15:K22" si="5">$C$30</f>
        <v>0.23380000000000001</v>
      </c>
      <c r="L15" s="21">
        <f t="shared" ref="L15:L22" si="6">IFERROR(TRUNC((1+$K15)*$F15*H15,2),0)</f>
        <v>9870.4</v>
      </c>
      <c r="M15" s="21">
        <f t="shared" ref="M15:M22" si="7">IFERROR(TRUNC((1+$K15)*$F15*I15,2),0)</f>
        <v>11844.48</v>
      </c>
      <c r="N15" s="21">
        <f t="shared" ref="N15:N22" si="8">IFERROR(L15+M15,0)</f>
        <v>21714.879999999997</v>
      </c>
    </row>
    <row r="16" spans="2:14" ht="25.5" x14ac:dyDescent="0.25">
      <c r="B16" s="7" t="s">
        <v>85</v>
      </c>
      <c r="C16" s="7" t="s">
        <v>105</v>
      </c>
      <c r="D16" s="7">
        <v>97084</v>
      </c>
      <c r="E16" s="18" t="s">
        <v>94</v>
      </c>
      <c r="F16" s="29">
        <v>40000</v>
      </c>
      <c r="G16" s="7" t="s">
        <v>45</v>
      </c>
      <c r="H16" s="21">
        <v>0.16</v>
      </c>
      <c r="I16" s="21">
        <v>0.53</v>
      </c>
      <c r="J16" s="21">
        <f t="shared" si="4"/>
        <v>0.69000000000000006</v>
      </c>
      <c r="K16" s="30">
        <f t="shared" si="5"/>
        <v>0.23380000000000001</v>
      </c>
      <c r="L16" s="21">
        <f t="shared" si="6"/>
        <v>7896.32</v>
      </c>
      <c r="M16" s="21">
        <f t="shared" si="7"/>
        <v>26156.560000000001</v>
      </c>
      <c r="N16" s="21">
        <f t="shared" si="8"/>
        <v>34052.880000000005</v>
      </c>
    </row>
    <row r="17" spans="2:14" ht="25.5" x14ac:dyDescent="0.25">
      <c r="B17" s="7" t="s">
        <v>86</v>
      </c>
      <c r="C17" s="7" t="s">
        <v>105</v>
      </c>
      <c r="D17" s="7">
        <v>96622</v>
      </c>
      <c r="E17" s="18" t="s">
        <v>95</v>
      </c>
      <c r="F17" s="29">
        <v>2000</v>
      </c>
      <c r="G17" s="7" t="s">
        <v>45</v>
      </c>
      <c r="H17" s="21">
        <f>0.05+91.01</f>
        <v>91.06</v>
      </c>
      <c r="I17" s="21">
        <v>32.31</v>
      </c>
      <c r="J17" s="21">
        <f t="shared" si="4"/>
        <v>123.37</v>
      </c>
      <c r="K17" s="30">
        <f t="shared" si="5"/>
        <v>0.23380000000000001</v>
      </c>
      <c r="L17" s="21">
        <f t="shared" si="6"/>
        <v>224699.65</v>
      </c>
      <c r="M17" s="21">
        <f t="shared" si="7"/>
        <v>79728.149999999994</v>
      </c>
      <c r="N17" s="21">
        <f t="shared" si="8"/>
        <v>304427.8</v>
      </c>
    </row>
    <row r="18" spans="2:14" ht="25.5" x14ac:dyDescent="0.25">
      <c r="B18" s="7" t="s">
        <v>87</v>
      </c>
      <c r="C18" s="7" t="s">
        <v>105</v>
      </c>
      <c r="D18" s="7">
        <v>95877</v>
      </c>
      <c r="E18" s="18" t="s">
        <v>97</v>
      </c>
      <c r="F18" s="29">
        <v>20000</v>
      </c>
      <c r="G18" s="7" t="s">
        <v>57</v>
      </c>
      <c r="H18" s="21">
        <f>0.81+0.99</f>
        <v>1.8</v>
      </c>
      <c r="I18" s="21">
        <v>0.13</v>
      </c>
      <c r="J18" s="21">
        <f t="shared" ref="J18:J21" si="9">IFERROR(H18+I18,0)</f>
        <v>1.9300000000000002</v>
      </c>
      <c r="K18" s="30">
        <f t="shared" si="5"/>
        <v>0.23380000000000001</v>
      </c>
      <c r="L18" s="21">
        <f t="shared" ref="L18:L21" si="10">IFERROR(TRUNC((1+$K18)*$F18*H18,2),0)</f>
        <v>44416.800000000003</v>
      </c>
      <c r="M18" s="21">
        <f t="shared" ref="M18:M21" si="11">IFERROR(TRUNC((1+$K18)*$F18*I18,2),0)</f>
        <v>3207.88</v>
      </c>
      <c r="N18" s="21">
        <f t="shared" ref="N18:N21" si="12">IFERROR(L18+M18,0)</f>
        <v>47624.68</v>
      </c>
    </row>
    <row r="19" spans="2:14" ht="25.5" x14ac:dyDescent="0.25">
      <c r="B19" s="7" t="s">
        <v>88</v>
      </c>
      <c r="C19" s="7" t="s">
        <v>105</v>
      </c>
      <c r="D19" s="7">
        <v>94990</v>
      </c>
      <c r="E19" s="18" t="s">
        <v>98</v>
      </c>
      <c r="F19" s="29">
        <v>2400</v>
      </c>
      <c r="G19" s="7" t="s">
        <v>50</v>
      </c>
      <c r="H19" s="21">
        <f>0.98+529.79+1.07</f>
        <v>531.84</v>
      </c>
      <c r="I19" s="21">
        <v>223.32</v>
      </c>
      <c r="J19" s="21">
        <f t="shared" si="9"/>
        <v>755.16000000000008</v>
      </c>
      <c r="K19" s="30">
        <f t="shared" si="5"/>
        <v>0.23380000000000001</v>
      </c>
      <c r="L19" s="21">
        <f t="shared" si="10"/>
        <v>1574842.06</v>
      </c>
      <c r="M19" s="21">
        <f t="shared" si="11"/>
        <v>661277.31000000006</v>
      </c>
      <c r="N19" s="21">
        <f t="shared" si="12"/>
        <v>2236119.37</v>
      </c>
    </row>
    <row r="20" spans="2:14" x14ac:dyDescent="0.25">
      <c r="B20" s="7" t="s">
        <v>89</v>
      </c>
      <c r="C20" s="7" t="s">
        <v>105</v>
      </c>
      <c r="D20" s="7">
        <v>101094</v>
      </c>
      <c r="E20" s="18" t="s">
        <v>99</v>
      </c>
      <c r="F20" s="29">
        <v>100</v>
      </c>
      <c r="G20" s="7" t="s">
        <v>46</v>
      </c>
      <c r="H20" s="21">
        <v>148.88</v>
      </c>
      <c r="I20" s="21">
        <v>12.85</v>
      </c>
      <c r="J20" s="21">
        <f t="shared" si="9"/>
        <v>161.72999999999999</v>
      </c>
      <c r="K20" s="30">
        <f t="shared" si="5"/>
        <v>0.23380000000000001</v>
      </c>
      <c r="L20" s="21">
        <f t="shared" si="10"/>
        <v>18368.810000000001</v>
      </c>
      <c r="M20" s="21">
        <f t="shared" si="11"/>
        <v>1585.43</v>
      </c>
      <c r="N20" s="21">
        <f t="shared" si="12"/>
        <v>19954.240000000002</v>
      </c>
    </row>
    <row r="21" spans="2:14" ht="25.5" x14ac:dyDescent="0.25">
      <c r="B21" s="7" t="s">
        <v>90</v>
      </c>
      <c r="C21" s="7" t="s">
        <v>105</v>
      </c>
      <c r="D21" s="7">
        <v>94273</v>
      </c>
      <c r="E21" s="18" t="s">
        <v>100</v>
      </c>
      <c r="F21" s="29">
        <v>5000</v>
      </c>
      <c r="G21" s="7" t="s">
        <v>46</v>
      </c>
      <c r="H21" s="21">
        <v>40.57</v>
      </c>
      <c r="I21" s="21">
        <v>15.17</v>
      </c>
      <c r="J21" s="21">
        <f t="shared" si="9"/>
        <v>55.74</v>
      </c>
      <c r="K21" s="30">
        <f t="shared" si="5"/>
        <v>0.23380000000000001</v>
      </c>
      <c r="L21" s="21">
        <f t="shared" si="10"/>
        <v>250276.33</v>
      </c>
      <c r="M21" s="21">
        <f t="shared" si="11"/>
        <v>93583.73</v>
      </c>
      <c r="N21" s="21">
        <f t="shared" si="12"/>
        <v>343860.06</v>
      </c>
    </row>
    <row r="22" spans="2:14" x14ac:dyDescent="0.25">
      <c r="B22" s="7" t="s">
        <v>91</v>
      </c>
      <c r="C22" s="7" t="s">
        <v>44</v>
      </c>
      <c r="D22" s="7" t="s">
        <v>71</v>
      </c>
      <c r="E22" s="18" t="s">
        <v>101</v>
      </c>
      <c r="F22" s="29">
        <v>2000</v>
      </c>
      <c r="G22" s="7" t="s">
        <v>45</v>
      </c>
      <c r="H22" s="21">
        <f>IFERROR(IF($C22="PRÓPRIA",VLOOKUP($E22,CPU!$C$9:Q4982,7,0),0),0)</f>
        <v>29.57</v>
      </c>
      <c r="I22" s="21">
        <f>IFERROR(IF($C22="PRÓPRIA",VLOOKUP($E22,CPU!$C$9:Q4982,13,0),0),0)</f>
        <v>0.47</v>
      </c>
      <c r="J22" s="21">
        <f t="shared" si="4"/>
        <v>30.04</v>
      </c>
      <c r="K22" s="30">
        <f t="shared" si="5"/>
        <v>0.23380000000000001</v>
      </c>
      <c r="L22" s="21">
        <f t="shared" si="6"/>
        <v>72966.929999999993</v>
      </c>
      <c r="M22" s="21">
        <f t="shared" si="7"/>
        <v>1159.77</v>
      </c>
      <c r="N22" s="21">
        <f t="shared" si="8"/>
        <v>74126.7</v>
      </c>
    </row>
    <row r="23" spans="2:14" x14ac:dyDescent="0.25">
      <c r="B23" s="7" t="s">
        <v>92</v>
      </c>
      <c r="C23" s="7" t="s">
        <v>105</v>
      </c>
      <c r="D23" s="7">
        <v>97114</v>
      </c>
      <c r="E23" s="18" t="s">
        <v>102</v>
      </c>
      <c r="F23" s="29">
        <v>1000</v>
      </c>
      <c r="G23" s="7" t="s">
        <v>45</v>
      </c>
      <c r="H23" s="21">
        <v>0.01</v>
      </c>
      <c r="I23" s="21">
        <v>0.37</v>
      </c>
      <c r="J23" s="21">
        <f t="shared" ref="J23" si="13">IFERROR(H23+I23,0)</f>
        <v>0.38</v>
      </c>
      <c r="K23" s="30">
        <f>$C$30</f>
        <v>0.23380000000000001</v>
      </c>
      <c r="L23" s="21">
        <f t="shared" ref="L23" si="14">IFERROR(TRUNC((1+$K23)*$F23*H23,2),0)</f>
        <v>12.33</v>
      </c>
      <c r="M23" s="21">
        <f t="shared" ref="M23" si="15">IFERROR(TRUNC((1+$K23)*$F23*I23,2),0)</f>
        <v>456.5</v>
      </c>
      <c r="N23" s="21">
        <f t="shared" ref="N23" si="16">IFERROR(L23+M23,0)</f>
        <v>468.83</v>
      </c>
    </row>
    <row r="24" spans="2:14" x14ac:dyDescent="0.25">
      <c r="B24" s="53" t="s">
        <v>48</v>
      </c>
      <c r="C24" s="53"/>
      <c r="D24" s="53"/>
      <c r="E24" s="53"/>
      <c r="F24" s="53"/>
      <c r="G24" s="53"/>
      <c r="H24" s="53"/>
      <c r="I24" s="53"/>
      <c r="J24" s="53"/>
      <c r="K24" s="53"/>
      <c r="L24" s="31">
        <f>SUM(L15:L23)</f>
        <v>2203349.6300000004</v>
      </c>
      <c r="M24" s="31">
        <f t="shared" ref="M24:N24" si="17">SUM(M15:M23)</f>
        <v>878999.81000000017</v>
      </c>
      <c r="N24" s="31">
        <f t="shared" si="17"/>
        <v>3082349.4400000009</v>
      </c>
    </row>
    <row r="25" spans="2:14" ht="24.95" customHeight="1" x14ac:dyDescent="0.25">
      <c r="B25" s="55" t="s">
        <v>54</v>
      </c>
      <c r="C25" s="56"/>
      <c r="D25" s="56"/>
      <c r="E25" s="56"/>
      <c r="F25" s="56"/>
      <c r="G25" s="56"/>
      <c r="H25" s="56"/>
      <c r="I25" s="56"/>
      <c r="J25" s="56"/>
      <c r="K25" s="56"/>
      <c r="L25" s="32">
        <f>L13+L24</f>
        <v>4098649.0300000003</v>
      </c>
      <c r="M25" s="32">
        <f t="shared" ref="M25:N25" si="18">M13+M24</f>
        <v>1319945.1100000001</v>
      </c>
      <c r="N25" s="32">
        <f t="shared" si="18"/>
        <v>5418594.1400000006</v>
      </c>
    </row>
    <row r="27" spans="2:14" ht="15.75" x14ac:dyDescent="0.25">
      <c r="B27" s="33" t="s">
        <v>55</v>
      </c>
    </row>
    <row r="28" spans="2:14" ht="15.75" x14ac:dyDescent="0.25">
      <c r="B28" s="34" t="s">
        <v>124</v>
      </c>
      <c r="L28" s="35" t="s">
        <v>56</v>
      </c>
      <c r="M28" s="54">
        <f ca="1">TODAY()</f>
        <v>45377</v>
      </c>
      <c r="N28" s="54"/>
    </row>
    <row r="29" spans="2:14" ht="15.75" x14ac:dyDescent="0.25">
      <c r="B29" s="34" t="s">
        <v>66</v>
      </c>
    </row>
    <row r="30" spans="2:14" ht="15.75" x14ac:dyDescent="0.25">
      <c r="B30" s="34" t="s">
        <v>69</v>
      </c>
      <c r="C30" s="45">
        <v>0.23380000000000001</v>
      </c>
    </row>
    <row r="31" spans="2:14" ht="15.75" x14ac:dyDescent="0.25">
      <c r="B31" s="34" t="s">
        <v>132</v>
      </c>
    </row>
  </sheetData>
  <mergeCells count="20">
    <mergeCell ref="G7:G8"/>
    <mergeCell ref="H7:J7"/>
    <mergeCell ref="L7:N7"/>
    <mergeCell ref="K7:K8"/>
    <mergeCell ref="C9:N9"/>
    <mergeCell ref="B7:B8"/>
    <mergeCell ref="C7:C8"/>
    <mergeCell ref="D7:D8"/>
    <mergeCell ref="E7:E8"/>
    <mergeCell ref="F7:F8"/>
    <mergeCell ref="B2:N2"/>
    <mergeCell ref="B3:N3"/>
    <mergeCell ref="B4:N4"/>
    <mergeCell ref="B5:N5"/>
    <mergeCell ref="B6:N6"/>
    <mergeCell ref="C14:N14"/>
    <mergeCell ref="B24:K24"/>
    <mergeCell ref="M28:N28"/>
    <mergeCell ref="B25:K25"/>
    <mergeCell ref="B13:K13"/>
  </mergeCells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35"/>
  <sheetViews>
    <sheetView showGridLines="0" view="pageBreakPreview" zoomScale="85" zoomScaleNormal="85" zoomScaleSheetLayoutView="85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10.7109375" style="2" customWidth="1"/>
    <col min="3" max="3" width="36.5703125" style="2" customWidth="1"/>
    <col min="4" max="4" width="13.7109375" style="2" customWidth="1"/>
    <col min="5" max="5" width="42.85546875" style="2" customWidth="1"/>
    <col min="6" max="6" width="9" style="2" customWidth="1"/>
    <col min="7" max="7" width="18.28515625" style="2" customWidth="1"/>
    <col min="8" max="8" width="13.7109375" style="2" customWidth="1"/>
    <col min="9" max="9" width="18.42578125" style="2" customWidth="1"/>
    <col min="10" max="10" width="13.7109375" style="2" customWidth="1"/>
    <col min="11" max="11" width="42.85546875" style="2" customWidth="1"/>
    <col min="12" max="12" width="9" style="2" customWidth="1"/>
    <col min="13" max="13" width="18.42578125" style="2" customWidth="1"/>
    <col min="14" max="14" width="13.7109375" style="2" customWidth="1"/>
    <col min="15" max="16" width="18.28515625" style="2" customWidth="1"/>
    <col min="17" max="17" width="9" style="2" customWidth="1"/>
    <col min="18" max="16384" width="9.140625" style="2"/>
  </cols>
  <sheetData>
    <row r="1" spans="2:17" x14ac:dyDescent="0.2">
      <c r="Q1" s="1"/>
    </row>
    <row r="2" spans="2:17" ht="21" customHeight="1" x14ac:dyDescent="0.2">
      <c r="B2" s="61" t="s">
        <v>81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1"/>
    </row>
    <row r="3" spans="2:17" ht="21" customHeight="1" x14ac:dyDescent="0.2">
      <c r="B3" s="61" t="s">
        <v>106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1"/>
    </row>
    <row r="4" spans="2:17" ht="21" customHeight="1" x14ac:dyDescent="0.2">
      <c r="B4" s="61" t="s">
        <v>13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"/>
    </row>
    <row r="5" spans="2:17" ht="21" customHeight="1" x14ac:dyDescent="0.2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"/>
    </row>
    <row r="6" spans="2:17" ht="21" customHeight="1" x14ac:dyDescent="0.2">
      <c r="B6" s="66" t="s">
        <v>31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1"/>
    </row>
    <row r="7" spans="2:17" ht="15" customHeight="1" x14ac:dyDescent="0.2">
      <c r="B7" s="69" t="s">
        <v>20</v>
      </c>
      <c r="C7" s="69"/>
      <c r="D7" s="69"/>
      <c r="E7" s="69" t="s">
        <v>32</v>
      </c>
      <c r="F7" s="69"/>
      <c r="G7" s="69"/>
      <c r="H7" s="69"/>
      <c r="I7" s="69"/>
      <c r="J7" s="69" t="s">
        <v>33</v>
      </c>
      <c r="K7" s="69"/>
      <c r="L7" s="69"/>
      <c r="M7" s="69"/>
      <c r="N7" s="69"/>
      <c r="O7" s="69"/>
      <c r="P7" s="69" t="s">
        <v>30</v>
      </c>
      <c r="Q7" s="1"/>
    </row>
    <row r="8" spans="2:17" x14ac:dyDescent="0.2">
      <c r="B8" s="24" t="s">
        <v>15</v>
      </c>
      <c r="C8" s="24" t="s">
        <v>16</v>
      </c>
      <c r="D8" s="24" t="s">
        <v>21</v>
      </c>
      <c r="E8" s="24" t="s">
        <v>22</v>
      </c>
      <c r="F8" s="24" t="s">
        <v>6</v>
      </c>
      <c r="G8" s="24" t="s">
        <v>23</v>
      </c>
      <c r="H8" s="24" t="s">
        <v>24</v>
      </c>
      <c r="I8" s="24" t="s">
        <v>25</v>
      </c>
      <c r="J8" s="24" t="s">
        <v>26</v>
      </c>
      <c r="K8" s="24" t="s">
        <v>27</v>
      </c>
      <c r="L8" s="24" t="s">
        <v>6</v>
      </c>
      <c r="M8" s="24" t="s">
        <v>28</v>
      </c>
      <c r="N8" s="24" t="s">
        <v>24</v>
      </c>
      <c r="O8" s="24" t="s">
        <v>29</v>
      </c>
      <c r="P8" s="69"/>
      <c r="Q8" s="1"/>
    </row>
    <row r="9" spans="2:17" ht="25.5" x14ac:dyDescent="0.2">
      <c r="B9" s="17">
        <v>1</v>
      </c>
      <c r="C9" s="36" t="s">
        <v>103</v>
      </c>
      <c r="D9" s="17" t="s">
        <v>45</v>
      </c>
      <c r="E9" s="17"/>
      <c r="F9" s="17"/>
      <c r="G9" s="17"/>
      <c r="H9" s="17"/>
      <c r="I9" s="26">
        <f>ROUND(SUM(I10:I15),2)</f>
        <v>0</v>
      </c>
      <c r="J9" s="17"/>
      <c r="K9" s="17"/>
      <c r="L9" s="17"/>
      <c r="M9" s="17"/>
      <c r="N9" s="17"/>
      <c r="O9" s="27">
        <f>ROUND(SUM(O10:O15),2)</f>
        <v>10.28</v>
      </c>
      <c r="P9" s="26">
        <f>ROUND(SUM(I9,O9),2)</f>
        <v>10.28</v>
      </c>
      <c r="Q9" s="25" t="str">
        <f>B10</f>
        <v>CP-01</v>
      </c>
    </row>
    <row r="10" spans="2:17" x14ac:dyDescent="0.2">
      <c r="B10" s="68" t="s">
        <v>68</v>
      </c>
      <c r="C10" s="48" t="s">
        <v>108</v>
      </c>
      <c r="D10" s="7" t="str">
        <f>IFERROR(VLOOKUP($E10,Insumos_MAT!$C$8:G4988,5,0),"")</f>
        <v/>
      </c>
      <c r="E10" s="18"/>
      <c r="F10" s="7" t="str">
        <f>IFERROR(VLOOKUP($E10,Insumos_MAT!$C$8:G4988,2,0),"")</f>
        <v/>
      </c>
      <c r="G10" s="21">
        <f>IFERROR(VLOOKUP($E10,Insumos_MAT!$C$8:G4988,3,0),0)</f>
        <v>0</v>
      </c>
      <c r="H10" s="22"/>
      <c r="I10" s="21">
        <f>IFERROR(G10*H10,0)</f>
        <v>0</v>
      </c>
      <c r="J10" s="7">
        <f>IFERROR(VLOOKUP($K10,Insumos_MO!$C$8:G4992,5,0),"")</f>
        <v>88260</v>
      </c>
      <c r="K10" s="18" t="s">
        <v>104</v>
      </c>
      <c r="L10" s="7" t="str">
        <f>IFERROR(VLOOKUP($K10,Insumos_MO!$C$8:G4992,2,0),"")</f>
        <v>H</v>
      </c>
      <c r="M10" s="21">
        <f>IFERROR(VLOOKUP($K10,Insumos_MO!$C$8:G4992,3,0),"")</f>
        <v>23.41</v>
      </c>
      <c r="N10" s="22">
        <f>0.4815/2</f>
        <v>0.24074999999999999</v>
      </c>
      <c r="O10" s="23">
        <f>IFERROR(M10*N10,0)</f>
        <v>5.6359575</v>
      </c>
      <c r="P10" s="7"/>
      <c r="Q10" s="1"/>
    </row>
    <row r="11" spans="2:17" x14ac:dyDescent="0.25">
      <c r="B11" s="68"/>
      <c r="C11" s="49"/>
      <c r="D11" s="7" t="str">
        <f>IFERROR(VLOOKUP($E11,Insumos_MAT!$C$8:G4989,5,0),"")</f>
        <v/>
      </c>
      <c r="E11" s="18"/>
      <c r="F11" s="7" t="str">
        <f>IFERROR(VLOOKUP($E11,Insumos_MAT!$C$8:G4989,2,0),"")</f>
        <v/>
      </c>
      <c r="G11" s="21">
        <f>IFERROR(VLOOKUP($E11,Insumos_MAT!$C$8:G4989,3,0),0)</f>
        <v>0</v>
      </c>
      <c r="H11" s="22"/>
      <c r="I11" s="21">
        <f t="shared" ref="I11:I14" si="0">IFERROR(G11*H11,0)</f>
        <v>0</v>
      </c>
      <c r="J11" s="7">
        <f>IFERROR(VLOOKUP($K11,Insumos_MO!$C$8:G4993,5,0),"")</f>
        <v>88316</v>
      </c>
      <c r="K11" s="18" t="s">
        <v>53</v>
      </c>
      <c r="L11" s="7" t="str">
        <f>IFERROR(VLOOKUP($K11,Insumos_MO!$C$8:G4993,2,0),"")</f>
        <v>H</v>
      </c>
      <c r="M11" s="21">
        <f>IFERROR(VLOOKUP($K11,Insumos_MO!$C$8:G4993,3,0),"")</f>
        <v>21.98</v>
      </c>
      <c r="N11" s="22">
        <v>0.21129999999999999</v>
      </c>
      <c r="O11" s="23">
        <f t="shared" ref="O11:O14" si="1">IFERROR(M11*N11,0)</f>
        <v>4.644374</v>
      </c>
      <c r="P11" s="7"/>
    </row>
    <row r="12" spans="2:17" x14ac:dyDescent="0.25">
      <c r="B12" s="68"/>
      <c r="C12" s="49"/>
      <c r="D12" s="7" t="str">
        <f>IFERROR(VLOOKUP($E12,Insumos_MAT!$C$8:G4990,5,0),"")</f>
        <v/>
      </c>
      <c r="E12" s="18"/>
      <c r="F12" s="7" t="str">
        <f>IFERROR(VLOOKUP($E12,Insumos_MAT!$C$8:G4990,2,0),"")</f>
        <v/>
      </c>
      <c r="G12" s="21">
        <f>IFERROR(VLOOKUP($E12,Insumos_MAT!$C$8:G4990,3,0),0)</f>
        <v>0</v>
      </c>
      <c r="H12" s="22"/>
      <c r="I12" s="21">
        <f t="shared" si="0"/>
        <v>0</v>
      </c>
      <c r="J12" s="7" t="str">
        <f>IFERROR(VLOOKUP($K12,Insumos_MO!$C$8:G4994,5,0),"")</f>
        <v/>
      </c>
      <c r="K12" s="18"/>
      <c r="L12" s="7" t="str">
        <f>IFERROR(VLOOKUP($K12,Insumos_MO!$C$8:G4994,2,0),"")</f>
        <v/>
      </c>
      <c r="M12" s="21" t="str">
        <f>IFERROR(VLOOKUP($K12,Insumos_MO!$C$8:G4994,3,0),"")</f>
        <v/>
      </c>
      <c r="N12" s="22"/>
      <c r="O12" s="23">
        <f t="shared" si="1"/>
        <v>0</v>
      </c>
      <c r="P12" s="7"/>
    </row>
    <row r="13" spans="2:17" x14ac:dyDescent="0.25">
      <c r="B13" s="68"/>
      <c r="C13" s="49"/>
      <c r="D13" s="7" t="str">
        <f>IFERROR(VLOOKUP($E13,Insumos_MAT!$C$8:G4991,5,0),"")</f>
        <v/>
      </c>
      <c r="E13" s="18"/>
      <c r="F13" s="7" t="str">
        <f>IFERROR(VLOOKUP($E13,Insumos_MAT!$C$8:G4991,2,0),"")</f>
        <v/>
      </c>
      <c r="G13" s="21">
        <f>IFERROR(VLOOKUP($E13,Insumos_MAT!$C$8:G4991,3,0),0)</f>
        <v>0</v>
      </c>
      <c r="H13" s="22"/>
      <c r="I13" s="21">
        <f t="shared" si="0"/>
        <v>0</v>
      </c>
      <c r="J13" s="7" t="str">
        <f>IFERROR(VLOOKUP($K13,Insumos_MO!$C$8:G4995,5,0),"")</f>
        <v/>
      </c>
      <c r="K13" s="18"/>
      <c r="L13" s="7" t="str">
        <f>IFERROR(VLOOKUP($K13,Insumos_MO!$C$8:G4995,2,0),"")</f>
        <v/>
      </c>
      <c r="M13" s="21" t="str">
        <f>IFERROR(VLOOKUP($K13,Insumos_MO!$C$8:G4995,3,0),"")</f>
        <v/>
      </c>
      <c r="N13" s="22"/>
      <c r="O13" s="23">
        <f t="shared" si="1"/>
        <v>0</v>
      </c>
      <c r="P13" s="7"/>
    </row>
    <row r="14" spans="2:17" x14ac:dyDescent="0.25">
      <c r="B14" s="68"/>
      <c r="C14" s="49"/>
      <c r="D14" s="7" t="str">
        <f>IFERROR(VLOOKUP($E14,Insumos_MAT!$C$8:G4992,5,0),"")</f>
        <v/>
      </c>
      <c r="E14" s="18"/>
      <c r="F14" s="7" t="str">
        <f>IFERROR(VLOOKUP($E14,Insumos_MAT!$C$8:G4992,2,0),"")</f>
        <v/>
      </c>
      <c r="G14" s="21">
        <f>IFERROR(VLOOKUP($E14,Insumos_MAT!$C$8:G4992,3,0),0)</f>
        <v>0</v>
      </c>
      <c r="H14" s="22"/>
      <c r="I14" s="21">
        <f t="shared" si="0"/>
        <v>0</v>
      </c>
      <c r="J14" s="7" t="str">
        <f>IFERROR(VLOOKUP($K14,Insumos_MO!$C$8:G4996,5,0),"")</f>
        <v/>
      </c>
      <c r="K14" s="18"/>
      <c r="L14" s="7" t="str">
        <f>IFERROR(VLOOKUP($K14,Insumos_MO!$C$8:G4996,2,0),"")</f>
        <v/>
      </c>
      <c r="M14" s="21" t="str">
        <f>IFERROR(VLOOKUP($K14,Insumos_MO!$C$8:G4996,3,0),"")</f>
        <v/>
      </c>
      <c r="N14" s="22"/>
      <c r="O14" s="23">
        <f t="shared" si="1"/>
        <v>0</v>
      </c>
      <c r="P14" s="7"/>
    </row>
    <row r="15" spans="2:17" x14ac:dyDescent="0.25">
      <c r="B15" s="68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</row>
    <row r="16" spans="2:17" ht="38.25" x14ac:dyDescent="0.2">
      <c r="B16" s="17">
        <v>2</v>
      </c>
      <c r="C16" s="36" t="s">
        <v>96</v>
      </c>
      <c r="D16" s="17" t="s">
        <v>45</v>
      </c>
      <c r="E16" s="17"/>
      <c r="F16" s="17"/>
      <c r="G16" s="17"/>
      <c r="H16" s="17"/>
      <c r="I16" s="26">
        <f>ROUND(SUM(I17:I22),2)</f>
        <v>81.55</v>
      </c>
      <c r="J16" s="17"/>
      <c r="K16" s="17"/>
      <c r="L16" s="17"/>
      <c r="M16" s="17"/>
      <c r="N16" s="17"/>
      <c r="O16" s="27">
        <f>ROUND(SUM(O17:O22),2)</f>
        <v>13.34</v>
      </c>
      <c r="P16" s="26">
        <f>ROUND(SUM(I16,O16),2)</f>
        <v>94.89</v>
      </c>
      <c r="Q16" s="25" t="str">
        <f>B17</f>
        <v>CP-02</v>
      </c>
    </row>
    <row r="17" spans="2:17" ht="38.25" x14ac:dyDescent="0.2">
      <c r="B17" s="68" t="s">
        <v>70</v>
      </c>
      <c r="C17" s="48" t="s">
        <v>109</v>
      </c>
      <c r="D17" s="7" t="str">
        <f>IFERROR(VLOOKUP($E17,Insumos_MAT!$C$8:G4995,5,0),"")</f>
        <v>COTAÇÃO 01</v>
      </c>
      <c r="E17" s="18" t="s">
        <v>122</v>
      </c>
      <c r="F17" s="7" t="str">
        <f>IFERROR(VLOOKUP($E17,Insumos_MAT!$C$8:G4995,2,0),"")</f>
        <v>UND</v>
      </c>
      <c r="G17" s="21">
        <f>IFERROR(VLOOKUP($E17,Insumos_MAT!$C$8:G4995,3,0),0)</f>
        <v>20.46</v>
      </c>
      <c r="H17" s="22">
        <v>2</v>
      </c>
      <c r="I17" s="21">
        <f>IFERROR(G17*H17,0)</f>
        <v>40.92</v>
      </c>
      <c r="J17" s="7">
        <f>IFERROR(VLOOKUP($K17,Insumos_MO!$C$8:G4999,5,0),"")</f>
        <v>88309</v>
      </c>
      <c r="K17" s="18" t="s">
        <v>72</v>
      </c>
      <c r="L17" s="7" t="str">
        <f>IFERROR(VLOOKUP($K17,Insumos_MO!$C$8:G4999,2,0),"")</f>
        <v>H</v>
      </c>
      <c r="M17" s="21">
        <f>IFERROR(VLOOKUP($K17,Insumos_MO!$C$8:G4999,3,0),"")</f>
        <v>26.68</v>
      </c>
      <c r="N17" s="22">
        <v>0.35399999999999998</v>
      </c>
      <c r="O17" s="23">
        <f>IFERROR(M17*N17,0)</f>
        <v>9.4447200000000002</v>
      </c>
      <c r="P17" s="7"/>
      <c r="Q17" s="1"/>
    </row>
    <row r="18" spans="2:17" ht="25.5" x14ac:dyDescent="0.25">
      <c r="B18" s="68"/>
      <c r="C18" s="49"/>
      <c r="D18" s="7">
        <f>IFERROR(VLOOKUP($E18,Insumos_MAT!$C$8:G4996,5,0),"")</f>
        <v>370</v>
      </c>
      <c r="E18" s="18" t="s">
        <v>110</v>
      </c>
      <c r="F18" s="7" t="str">
        <f>IFERROR(VLOOKUP($E18,Insumos_MAT!$C$8:G4996,2,0),"")</f>
        <v>M3</v>
      </c>
      <c r="G18" s="21">
        <f>IFERROR(VLOOKUP($E18,Insumos_MAT!$C$8:G4996,3,0),0)</f>
        <v>85</v>
      </c>
      <c r="H18" s="22">
        <v>5.6800000000000003E-2</v>
      </c>
      <c r="I18" s="21">
        <f t="shared" ref="I18:I21" si="2">IFERROR(G18*H18,0)</f>
        <v>4.8280000000000003</v>
      </c>
      <c r="J18" s="7">
        <f>IFERROR(VLOOKUP($K18,Insumos_MO!$C$8:G5000,5,0),"")</f>
        <v>88316</v>
      </c>
      <c r="K18" s="18" t="s">
        <v>53</v>
      </c>
      <c r="L18" s="7" t="str">
        <f>IFERROR(VLOOKUP($K18,Insumos_MO!$C$8:G5000,2,0),"")</f>
        <v>H</v>
      </c>
      <c r="M18" s="21">
        <f>IFERROR(VLOOKUP($K18,Insumos_MO!$C$8:G5000,3,0),"")</f>
        <v>21.98</v>
      </c>
      <c r="N18" s="22">
        <v>0.17699999999999999</v>
      </c>
      <c r="O18" s="23">
        <f t="shared" ref="O18:O21" si="3">IFERROR(M18*N18,0)</f>
        <v>3.89046</v>
      </c>
      <c r="P18" s="7"/>
    </row>
    <row r="19" spans="2:17" ht="38.25" x14ac:dyDescent="0.25">
      <c r="B19" s="68"/>
      <c r="C19" s="49"/>
      <c r="D19" s="7">
        <f>IFERROR(VLOOKUP($E19,Insumos_MAT!$C$8:G4997,5,0),"")</f>
        <v>87298</v>
      </c>
      <c r="E19" s="18" t="s">
        <v>111</v>
      </c>
      <c r="F19" s="7" t="str">
        <f>IFERROR(VLOOKUP($E19,Insumos_MAT!$C$8:G4997,2,0),"")</f>
        <v>M3</v>
      </c>
      <c r="G19" s="21">
        <f>IFERROR(VLOOKUP($E19,Insumos_MAT!$C$8:G4997,3,0),0)</f>
        <v>716.05</v>
      </c>
      <c r="H19" s="22">
        <v>0.05</v>
      </c>
      <c r="I19" s="21">
        <f t="shared" si="2"/>
        <v>35.802500000000002</v>
      </c>
      <c r="J19" s="7" t="str">
        <f>IFERROR(VLOOKUP($K19,Insumos_MO!$C$8:G5001,5,0),"")</f>
        <v/>
      </c>
      <c r="K19" s="18"/>
      <c r="L19" s="7" t="str">
        <f>IFERROR(VLOOKUP($K19,Insumos_MO!$C$8:G5001,2,0),"")</f>
        <v/>
      </c>
      <c r="M19" s="21" t="str">
        <f>IFERROR(VLOOKUP($K19,Insumos_MO!$C$8:G5001,3,0),"")</f>
        <v/>
      </c>
      <c r="N19" s="22"/>
      <c r="O19" s="23">
        <f t="shared" si="3"/>
        <v>0</v>
      </c>
      <c r="P19" s="7"/>
    </row>
    <row r="20" spans="2:17" x14ac:dyDescent="0.25">
      <c r="B20" s="68"/>
      <c r="C20" s="49"/>
      <c r="D20" s="7" t="str">
        <f>IFERROR(VLOOKUP($E20,Insumos_MAT!$C$8:G4998,5,0),"")</f>
        <v/>
      </c>
      <c r="E20" s="18"/>
      <c r="F20" s="7" t="str">
        <f>IFERROR(VLOOKUP($E20,Insumos_MAT!$C$8:G4998,2,0),"")</f>
        <v/>
      </c>
      <c r="G20" s="21">
        <f>IFERROR(VLOOKUP($E20,Insumos_MAT!$C$8:G4998,3,0),0)</f>
        <v>0</v>
      </c>
      <c r="H20" s="22"/>
      <c r="I20" s="21">
        <f t="shared" si="2"/>
        <v>0</v>
      </c>
      <c r="J20" s="7" t="str">
        <f>IFERROR(VLOOKUP($K20,Insumos_MO!$C$8:G5002,5,0),"")</f>
        <v/>
      </c>
      <c r="K20" s="18"/>
      <c r="L20" s="7" t="str">
        <f>IFERROR(VLOOKUP($K20,Insumos_MO!$C$8:G5002,2,0),"")</f>
        <v/>
      </c>
      <c r="M20" s="21" t="str">
        <f>IFERROR(VLOOKUP($K20,Insumos_MO!$C$8:G5002,3,0),"")</f>
        <v/>
      </c>
      <c r="N20" s="22"/>
      <c r="O20" s="23">
        <f t="shared" si="3"/>
        <v>0</v>
      </c>
      <c r="P20" s="7"/>
    </row>
    <row r="21" spans="2:17" x14ac:dyDescent="0.25">
      <c r="B21" s="68"/>
      <c r="C21" s="49"/>
      <c r="D21" s="7" t="str">
        <f>IFERROR(VLOOKUP($E21,Insumos_MAT!$C$8:G4999,5,0),"")</f>
        <v/>
      </c>
      <c r="E21" s="18"/>
      <c r="F21" s="7" t="str">
        <f>IFERROR(VLOOKUP($E21,Insumos_MAT!$C$8:G4999,2,0),"")</f>
        <v/>
      </c>
      <c r="G21" s="21">
        <f>IFERROR(VLOOKUP($E21,Insumos_MAT!$C$8:G4999,3,0),0)</f>
        <v>0</v>
      </c>
      <c r="H21" s="22"/>
      <c r="I21" s="21">
        <f t="shared" si="2"/>
        <v>0</v>
      </c>
      <c r="J21" s="7" t="str">
        <f>IFERROR(VLOOKUP($K21,Insumos_MO!$C$8:G5003,5,0),"")</f>
        <v/>
      </c>
      <c r="K21" s="18"/>
      <c r="L21" s="7" t="str">
        <f>IFERROR(VLOOKUP($K21,Insumos_MO!$C$8:G5003,2,0),"")</f>
        <v/>
      </c>
      <c r="M21" s="21" t="str">
        <f>IFERROR(VLOOKUP($K21,Insumos_MO!$C$8:G5003,3,0),"")</f>
        <v/>
      </c>
      <c r="N21" s="22"/>
      <c r="O21" s="23">
        <f t="shared" si="3"/>
        <v>0</v>
      </c>
      <c r="P21" s="7"/>
    </row>
    <row r="22" spans="2:17" x14ac:dyDescent="0.25">
      <c r="B22" s="68"/>
      <c r="C22" s="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2:17" ht="25.5" x14ac:dyDescent="0.2">
      <c r="B23" s="17">
        <v>3</v>
      </c>
      <c r="C23" s="36" t="s">
        <v>101</v>
      </c>
      <c r="D23" s="17" t="s">
        <v>45</v>
      </c>
      <c r="E23" s="17"/>
      <c r="F23" s="17"/>
      <c r="G23" s="17"/>
      <c r="H23" s="17"/>
      <c r="I23" s="26">
        <f>ROUND(SUM(I24:I29),2)</f>
        <v>29.57</v>
      </c>
      <c r="J23" s="17"/>
      <c r="K23" s="17"/>
      <c r="L23" s="17"/>
      <c r="M23" s="17"/>
      <c r="N23" s="17"/>
      <c r="O23" s="27">
        <f>ROUND(SUM(O24:O29),2)</f>
        <v>0.47</v>
      </c>
      <c r="P23" s="26">
        <f>ROUND(SUM(I23,O23),2)</f>
        <v>30.04</v>
      </c>
      <c r="Q23" s="25" t="str">
        <f>B24</f>
        <v>CP-03</v>
      </c>
    </row>
    <row r="24" spans="2:17" ht="51" x14ac:dyDescent="0.2">
      <c r="B24" s="68" t="s">
        <v>71</v>
      </c>
      <c r="C24" s="48" t="s">
        <v>123</v>
      </c>
      <c r="D24" s="7">
        <f>IFERROR(VLOOKUP($E24,Insumos_MAT!$C$8:G5002,5,0),"")</f>
        <v>7156</v>
      </c>
      <c r="E24" s="18" t="s">
        <v>107</v>
      </c>
      <c r="F24" s="7" t="str">
        <f>IFERROR(VLOOKUP($E24,Insumos_MAT!$C$8:G5002,2,0),"")</f>
        <v>M2</v>
      </c>
      <c r="G24" s="21">
        <f>IFERROR(VLOOKUP($E24,Insumos_MAT!$C$8:G5002,3,0),0)</f>
        <v>27.34</v>
      </c>
      <c r="H24" s="22">
        <v>1.0815999999999999</v>
      </c>
      <c r="I24" s="21">
        <f>IFERROR(G24*H24,0)</f>
        <v>29.570943999999997</v>
      </c>
      <c r="J24" s="7">
        <f>IFERROR(VLOOKUP($K24,Insumos_MO!$C$8:G5006,5,0),"")</f>
        <v>88309</v>
      </c>
      <c r="K24" s="18" t="s">
        <v>72</v>
      </c>
      <c r="L24" s="7" t="str">
        <f>IFERROR(VLOOKUP($K24,Insumos_MO!$C$8:G5006,2,0),"")</f>
        <v>H</v>
      </c>
      <c r="M24" s="21">
        <f>IFERROR(VLOOKUP($K24,Insumos_MO!$C$8:G5006,3,0),"")</f>
        <v>26.68</v>
      </c>
      <c r="N24" s="22">
        <f>0.1483*0.05</f>
        <v>7.4149999999999997E-3</v>
      </c>
      <c r="O24" s="23">
        <f>IFERROR(M24*N24,0)</f>
        <v>0.19783219999999999</v>
      </c>
      <c r="P24" s="7"/>
      <c r="Q24" s="1"/>
    </row>
    <row r="25" spans="2:17" x14ac:dyDescent="0.25">
      <c r="B25" s="68"/>
      <c r="C25" s="49"/>
      <c r="D25" s="7" t="str">
        <f>IFERROR(VLOOKUP($E25,Insumos_MAT!$C$8:G5003,5,0),"")</f>
        <v/>
      </c>
      <c r="E25" s="18"/>
      <c r="F25" s="7" t="str">
        <f>IFERROR(VLOOKUP($E25,Insumos_MAT!$C$8:G5003,2,0),"")</f>
        <v/>
      </c>
      <c r="G25" s="21">
        <f>IFERROR(VLOOKUP($E25,Insumos_MAT!$C$8:G5003,3,0),0)</f>
        <v>0</v>
      </c>
      <c r="H25" s="22"/>
      <c r="I25" s="21">
        <f t="shared" ref="I25:I28" si="4">IFERROR(G25*H25,0)</f>
        <v>0</v>
      </c>
      <c r="J25" s="7">
        <f>IFERROR(VLOOKUP($K25,Insumos_MO!$C$8:G5007,5,0),"")</f>
        <v>88316</v>
      </c>
      <c r="K25" s="18" t="s">
        <v>53</v>
      </c>
      <c r="L25" s="7" t="str">
        <f>IFERROR(VLOOKUP($K25,Insumos_MO!$C$8:G5007,2,0),"")</f>
        <v>H</v>
      </c>
      <c r="M25" s="21">
        <f>IFERROR(VLOOKUP($K25,Insumos_MO!$C$8:G5007,3,0),"")</f>
        <v>21.98</v>
      </c>
      <c r="N25" s="22">
        <f>0.2456*0.05</f>
        <v>1.2280000000000001E-2</v>
      </c>
      <c r="O25" s="23">
        <f t="shared" ref="O25:O28" si="5">IFERROR(M25*N25,0)</f>
        <v>0.26991440000000005</v>
      </c>
      <c r="P25" s="7"/>
    </row>
    <row r="26" spans="2:17" x14ac:dyDescent="0.25">
      <c r="B26" s="68"/>
      <c r="C26" s="49"/>
      <c r="D26" s="7" t="str">
        <f>IFERROR(VLOOKUP($E26,Insumos_MAT!$C$8:G5004,5,0),"")</f>
        <v/>
      </c>
      <c r="E26" s="18"/>
      <c r="F26" s="7" t="str">
        <f>IFERROR(VLOOKUP($E26,Insumos_MAT!$C$8:G5004,2,0),"")</f>
        <v/>
      </c>
      <c r="G26" s="21">
        <f>IFERROR(VLOOKUP($E26,Insumos_MAT!$C$8:G5004,3,0),0)</f>
        <v>0</v>
      </c>
      <c r="H26" s="22"/>
      <c r="I26" s="21">
        <f t="shared" si="4"/>
        <v>0</v>
      </c>
      <c r="J26" s="7" t="str">
        <f>IFERROR(VLOOKUP($K26,Insumos_MO!$C$8:G5008,5,0),"")</f>
        <v/>
      </c>
      <c r="K26" s="18"/>
      <c r="L26" s="7" t="str">
        <f>IFERROR(VLOOKUP($K26,Insumos_MO!$C$8:G5008,2,0),"")</f>
        <v/>
      </c>
      <c r="M26" s="21" t="str">
        <f>IFERROR(VLOOKUP($K26,Insumos_MO!$C$8:G5008,3,0),"")</f>
        <v/>
      </c>
      <c r="N26" s="22"/>
      <c r="O26" s="23">
        <f t="shared" si="5"/>
        <v>0</v>
      </c>
      <c r="P26" s="7"/>
    </row>
    <row r="27" spans="2:17" x14ac:dyDescent="0.25">
      <c r="B27" s="68"/>
      <c r="C27" s="49"/>
      <c r="D27" s="7" t="str">
        <f>IFERROR(VLOOKUP($E27,Insumos_MAT!$C$8:G5005,5,0),"")</f>
        <v/>
      </c>
      <c r="E27" s="18"/>
      <c r="F27" s="7" t="str">
        <f>IFERROR(VLOOKUP($E27,Insumos_MAT!$C$8:G5005,2,0),"")</f>
        <v/>
      </c>
      <c r="G27" s="21">
        <f>IFERROR(VLOOKUP($E27,Insumos_MAT!$C$8:G5005,3,0),0)</f>
        <v>0</v>
      </c>
      <c r="H27" s="22"/>
      <c r="I27" s="21">
        <f t="shared" si="4"/>
        <v>0</v>
      </c>
      <c r="J27" s="7" t="str">
        <f>IFERROR(VLOOKUP($K27,Insumos_MO!$C$8:G5009,5,0),"")</f>
        <v/>
      </c>
      <c r="K27" s="18"/>
      <c r="L27" s="7" t="str">
        <f>IFERROR(VLOOKUP($K27,Insumos_MO!$C$8:G5009,2,0),"")</f>
        <v/>
      </c>
      <c r="M27" s="21" t="str">
        <f>IFERROR(VLOOKUP($K27,Insumos_MO!$C$8:G5009,3,0),"")</f>
        <v/>
      </c>
      <c r="N27" s="22"/>
      <c r="O27" s="23">
        <f t="shared" si="5"/>
        <v>0</v>
      </c>
      <c r="P27" s="7"/>
    </row>
    <row r="28" spans="2:17" x14ac:dyDescent="0.25">
      <c r="B28" s="68"/>
      <c r="C28" s="49"/>
      <c r="D28" s="7" t="str">
        <f>IFERROR(VLOOKUP($E28,Insumos_MAT!$C$8:G5006,5,0),"")</f>
        <v/>
      </c>
      <c r="E28" s="18"/>
      <c r="F28" s="7" t="str">
        <f>IFERROR(VLOOKUP($E28,Insumos_MAT!$C$8:G5006,2,0),"")</f>
        <v/>
      </c>
      <c r="G28" s="21">
        <f>IFERROR(VLOOKUP($E28,Insumos_MAT!$C$8:G5006,3,0),0)</f>
        <v>0</v>
      </c>
      <c r="H28" s="22"/>
      <c r="I28" s="21">
        <f t="shared" si="4"/>
        <v>0</v>
      </c>
      <c r="J28" s="7" t="str">
        <f>IFERROR(VLOOKUP($K28,Insumos_MO!$C$8:G5010,5,0),"")</f>
        <v/>
      </c>
      <c r="K28" s="18"/>
      <c r="L28" s="7" t="str">
        <f>IFERROR(VLOOKUP($K28,Insumos_MO!$C$8:G5010,2,0),"")</f>
        <v/>
      </c>
      <c r="M28" s="21" t="str">
        <f>IFERROR(VLOOKUP($K28,Insumos_MO!$C$8:G5010,3,0),"")</f>
        <v/>
      </c>
      <c r="N28" s="22"/>
      <c r="O28" s="23">
        <f t="shared" si="5"/>
        <v>0</v>
      </c>
      <c r="P28" s="7"/>
    </row>
    <row r="29" spans="2:17" x14ac:dyDescent="0.25">
      <c r="B29" s="68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</row>
    <row r="31" spans="2:17" ht="15.75" x14ac:dyDescent="0.25">
      <c r="B31" s="33" t="s">
        <v>55</v>
      </c>
    </row>
    <row r="32" spans="2:17" ht="15.75" x14ac:dyDescent="0.25">
      <c r="B32" s="34" t="s">
        <v>124</v>
      </c>
      <c r="N32" s="35" t="s">
        <v>56</v>
      </c>
      <c r="O32" s="54">
        <f ca="1">TODAY()</f>
        <v>45377</v>
      </c>
      <c r="P32" s="54"/>
    </row>
    <row r="33" spans="2:3" ht="15.75" x14ac:dyDescent="0.25">
      <c r="B33" s="34" t="s">
        <v>66</v>
      </c>
    </row>
    <row r="34" spans="2:3" ht="15.75" x14ac:dyDescent="0.25">
      <c r="B34" s="34" t="s">
        <v>69</v>
      </c>
      <c r="C34" s="45">
        <v>0.23380000000000001</v>
      </c>
    </row>
    <row r="35" spans="2:3" ht="15.75" x14ac:dyDescent="0.25">
      <c r="B35" s="34" t="s">
        <v>132</v>
      </c>
    </row>
  </sheetData>
  <mergeCells count="13">
    <mergeCell ref="B3:P3"/>
    <mergeCell ref="B2:P2"/>
    <mergeCell ref="B10:B15"/>
    <mergeCell ref="B6:P6"/>
    <mergeCell ref="B7:D7"/>
    <mergeCell ref="E7:I7"/>
    <mergeCell ref="J7:O7"/>
    <mergeCell ref="P7:P8"/>
    <mergeCell ref="O32:P32"/>
    <mergeCell ref="B5:P5"/>
    <mergeCell ref="B17:B22"/>
    <mergeCell ref="B24:B29"/>
    <mergeCell ref="B4:P4"/>
  </mergeCells>
  <pageMargins left="0.51181102362204722" right="0.51181102362204722" top="0.78740157480314965" bottom="0.78740157480314965" header="0.31496062992125984" footer="0.31496062992125984"/>
  <pageSetup paperSize="9" scale="45" fitToHeight="0" orientation="landscape" r:id="rId1"/>
  <colBreaks count="1" manualBreakCount="1">
    <brk id="9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11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94.28515625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57" t="s">
        <v>80</v>
      </c>
      <c r="C2" s="58"/>
      <c r="D2" s="58"/>
      <c r="E2" s="58"/>
      <c r="F2" s="58"/>
      <c r="G2" s="59"/>
    </row>
    <row r="3" spans="2:7" ht="21" customHeight="1" x14ac:dyDescent="0.25">
      <c r="B3" s="60" t="s">
        <v>106</v>
      </c>
      <c r="C3" s="61"/>
      <c r="D3" s="61"/>
      <c r="E3" s="61"/>
      <c r="F3" s="61"/>
      <c r="G3" s="62"/>
    </row>
    <row r="4" spans="2:7" ht="21" customHeight="1" x14ac:dyDescent="0.25">
      <c r="B4" s="60" t="s">
        <v>13</v>
      </c>
      <c r="C4" s="61"/>
      <c r="D4" s="61"/>
      <c r="E4" s="61"/>
      <c r="F4" s="61"/>
      <c r="G4" s="62"/>
    </row>
    <row r="5" spans="2:7" ht="21" customHeight="1" x14ac:dyDescent="0.25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14</v>
      </c>
      <c r="C6" s="66"/>
      <c r="D6" s="66"/>
      <c r="E6" s="66"/>
      <c r="F6" s="66"/>
      <c r="G6" s="66"/>
    </row>
    <row r="7" spans="2:7" x14ac:dyDescent="0.25">
      <c r="B7" s="16" t="s">
        <v>15</v>
      </c>
      <c r="C7" s="16" t="s">
        <v>16</v>
      </c>
      <c r="D7" s="16" t="s">
        <v>6</v>
      </c>
      <c r="E7" s="16" t="s">
        <v>18</v>
      </c>
      <c r="F7" s="16" t="s">
        <v>17</v>
      </c>
      <c r="G7" s="16" t="s">
        <v>1</v>
      </c>
    </row>
    <row r="8" spans="2:7" ht="25.5" x14ac:dyDescent="0.25">
      <c r="B8" s="17">
        <v>1</v>
      </c>
      <c r="C8" s="46" t="s">
        <v>122</v>
      </c>
      <c r="D8" s="17" t="str">
        <f>IFERROR(IF(F8="COTAÇÃO",VLOOKUP($C8,Cotações!$C$7:H4997,3,0),0),"-")</f>
        <v>UND</v>
      </c>
      <c r="E8" s="19">
        <f>IFERROR(IF(F8="COTAÇÃO",VLOOKUP($C8,Cotações!$C$7:H4997,5,0),0),"-")</f>
        <v>20.46</v>
      </c>
      <c r="F8" s="17" t="s">
        <v>73</v>
      </c>
      <c r="G8" s="7" t="str">
        <f>IFERROR(IF(F8="COTAÇÃO",VLOOKUP($C8,Cotações!$C$7:H4997,6,0),0),"-")</f>
        <v>COTAÇÃO 01</v>
      </c>
    </row>
    <row r="9" spans="2:7" x14ac:dyDescent="0.25">
      <c r="B9" s="17">
        <v>2</v>
      </c>
      <c r="C9" s="46" t="s">
        <v>110</v>
      </c>
      <c r="D9" s="17" t="s">
        <v>50</v>
      </c>
      <c r="E9" s="19">
        <v>85</v>
      </c>
      <c r="F9" s="17" t="s">
        <v>105</v>
      </c>
      <c r="G9" s="7">
        <v>370</v>
      </c>
    </row>
    <row r="10" spans="2:7" ht="25.5" x14ac:dyDescent="0.25">
      <c r="B10" s="17">
        <v>3</v>
      </c>
      <c r="C10" s="46" t="s">
        <v>111</v>
      </c>
      <c r="D10" s="17" t="s">
        <v>50</v>
      </c>
      <c r="E10" s="19">
        <v>716.05</v>
      </c>
      <c r="F10" s="17" t="s">
        <v>52</v>
      </c>
      <c r="G10" s="7">
        <v>87298</v>
      </c>
    </row>
    <row r="11" spans="2:7" ht="25.5" x14ac:dyDescent="0.25">
      <c r="B11" s="17">
        <v>4</v>
      </c>
      <c r="C11" s="46" t="s">
        <v>107</v>
      </c>
      <c r="D11" s="17" t="s">
        <v>45</v>
      </c>
      <c r="E11" s="19">
        <v>27.34</v>
      </c>
      <c r="F11" s="17" t="s">
        <v>105</v>
      </c>
      <c r="G11" s="7">
        <v>7156</v>
      </c>
    </row>
  </sheetData>
  <sortState xmlns:xlrd2="http://schemas.microsoft.com/office/spreadsheetml/2017/richdata2" ref="C9:G11">
    <sortCondition ref="C8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0"/>
  <sheetViews>
    <sheetView showGridLines="0" view="pageBreakPreview" zoomScale="85" zoomScaleNormal="85" zoomScaleSheetLayoutView="85" workbookViewId="0">
      <selection activeCell="B8" sqref="B8"/>
    </sheetView>
  </sheetViews>
  <sheetFormatPr defaultRowHeight="12.75" x14ac:dyDescent="0.25"/>
  <cols>
    <col min="1" max="2" width="9.140625" style="2"/>
    <col min="3" max="3" width="65.7109375" style="2" customWidth="1"/>
    <col min="4" max="4" width="9.140625" style="2"/>
    <col min="5" max="6" width="18.42578125" style="2" customWidth="1"/>
    <col min="7" max="7" width="13.85546875" style="2" customWidth="1"/>
    <col min="8" max="16384" width="9.140625" style="2"/>
  </cols>
  <sheetData>
    <row r="2" spans="2:7" ht="21" customHeight="1" x14ac:dyDescent="0.25">
      <c r="B2" s="57" t="s">
        <v>79</v>
      </c>
      <c r="C2" s="58"/>
      <c r="D2" s="58"/>
      <c r="E2" s="58"/>
      <c r="F2" s="58"/>
      <c r="G2" s="59"/>
    </row>
    <row r="3" spans="2:7" ht="21" customHeight="1" x14ac:dyDescent="0.25">
      <c r="B3" s="60" t="s">
        <v>106</v>
      </c>
      <c r="C3" s="61"/>
      <c r="D3" s="61"/>
      <c r="E3" s="61"/>
      <c r="F3" s="61"/>
      <c r="G3" s="62"/>
    </row>
    <row r="4" spans="2:7" ht="21" customHeight="1" x14ac:dyDescent="0.25">
      <c r="B4" s="60" t="s">
        <v>13</v>
      </c>
      <c r="C4" s="61"/>
      <c r="D4" s="61"/>
      <c r="E4" s="61"/>
      <c r="F4" s="61"/>
      <c r="G4" s="62"/>
    </row>
    <row r="5" spans="2:7" ht="21" customHeight="1" x14ac:dyDescent="0.25">
      <c r="B5" s="63" t="s">
        <v>0</v>
      </c>
      <c r="C5" s="64"/>
      <c r="D5" s="64"/>
      <c r="E5" s="64"/>
      <c r="F5" s="64"/>
      <c r="G5" s="65"/>
    </row>
    <row r="6" spans="2:7" ht="15.75" x14ac:dyDescent="0.25">
      <c r="B6" s="66" t="s">
        <v>19</v>
      </c>
      <c r="C6" s="66"/>
      <c r="D6" s="66"/>
      <c r="E6" s="66"/>
      <c r="F6" s="66"/>
      <c r="G6" s="66"/>
    </row>
    <row r="7" spans="2:7" x14ac:dyDescent="0.25">
      <c r="B7" s="16" t="s">
        <v>15</v>
      </c>
      <c r="C7" s="16" t="s">
        <v>16</v>
      </c>
      <c r="D7" s="16" t="s">
        <v>6</v>
      </c>
      <c r="E7" s="16" t="s">
        <v>18</v>
      </c>
      <c r="F7" s="16" t="s">
        <v>17</v>
      </c>
      <c r="G7" s="16" t="s">
        <v>1</v>
      </c>
    </row>
    <row r="8" spans="2:7" x14ac:dyDescent="0.25">
      <c r="B8" s="17">
        <v>1</v>
      </c>
      <c r="C8" s="18" t="s">
        <v>104</v>
      </c>
      <c r="D8" s="17" t="s">
        <v>51</v>
      </c>
      <c r="E8" s="19">
        <v>23.41</v>
      </c>
      <c r="F8" s="17" t="s">
        <v>52</v>
      </c>
      <c r="G8" s="7">
        <v>88260</v>
      </c>
    </row>
    <row r="9" spans="2:7" x14ac:dyDescent="0.25">
      <c r="B9" s="17">
        <v>2</v>
      </c>
      <c r="C9" s="18" t="s">
        <v>72</v>
      </c>
      <c r="D9" s="17" t="s">
        <v>51</v>
      </c>
      <c r="E9" s="19">
        <v>26.68</v>
      </c>
      <c r="F9" s="17" t="s">
        <v>52</v>
      </c>
      <c r="G9" s="7">
        <v>88309</v>
      </c>
    </row>
    <row r="10" spans="2:7" x14ac:dyDescent="0.25">
      <c r="B10" s="17">
        <v>3</v>
      </c>
      <c r="C10" s="18" t="s">
        <v>53</v>
      </c>
      <c r="D10" s="17" t="s">
        <v>51</v>
      </c>
      <c r="E10" s="19">
        <v>21.98</v>
      </c>
      <c r="F10" s="17" t="s">
        <v>52</v>
      </c>
      <c r="G10" s="7">
        <v>88316</v>
      </c>
    </row>
  </sheetData>
  <sortState xmlns:xlrd2="http://schemas.microsoft.com/office/spreadsheetml/2017/richdata2" ref="C8:G10">
    <sortCondition ref="C8"/>
  </sortState>
  <mergeCells count="5">
    <mergeCell ref="B2:G2"/>
    <mergeCell ref="B3:G3"/>
    <mergeCell ref="B4:G4"/>
    <mergeCell ref="B5:G5"/>
    <mergeCell ref="B6:G6"/>
  </mergeCells>
  <pageMargins left="0.511811024" right="0.511811024" top="0.78740157499999996" bottom="0.78740157499999996" header="0.31496062000000002" footer="0.31496062000000002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26"/>
  <sheetViews>
    <sheetView showGridLines="0" view="pageBreakPreview" zoomScale="85" zoomScaleNormal="85" zoomScaleSheetLayoutView="85" workbookViewId="0">
      <selection activeCell="B7" sqref="B7"/>
    </sheetView>
  </sheetViews>
  <sheetFormatPr defaultRowHeight="12.75" x14ac:dyDescent="0.25"/>
  <cols>
    <col min="1" max="1" width="2.85546875" style="2" customWidth="1"/>
    <col min="2" max="2" width="18.42578125" style="2" customWidth="1"/>
    <col min="3" max="3" width="60" style="2" customWidth="1"/>
    <col min="4" max="4" width="13.85546875" style="2" customWidth="1"/>
    <col min="5" max="5" width="48.5703125" style="2" customWidth="1"/>
    <col min="6" max="6" width="13.7109375" style="2" customWidth="1"/>
    <col min="7" max="7" width="18.42578125" style="2" customWidth="1"/>
    <col min="8" max="16384" width="9.140625" style="2"/>
  </cols>
  <sheetData>
    <row r="2" spans="2:8" ht="21" customHeight="1" x14ac:dyDescent="0.25">
      <c r="B2" s="57" t="s">
        <v>78</v>
      </c>
      <c r="C2" s="58"/>
      <c r="D2" s="58"/>
      <c r="E2" s="58"/>
      <c r="F2" s="58"/>
      <c r="G2" s="59"/>
    </row>
    <row r="3" spans="2:8" ht="21" customHeight="1" x14ac:dyDescent="0.25">
      <c r="B3" s="60" t="s">
        <v>106</v>
      </c>
      <c r="C3" s="61"/>
      <c r="D3" s="61"/>
      <c r="E3" s="61"/>
      <c r="F3" s="61"/>
      <c r="G3" s="62"/>
    </row>
    <row r="4" spans="2:8" ht="21" customHeight="1" x14ac:dyDescent="0.25">
      <c r="B4" s="60" t="s">
        <v>13</v>
      </c>
      <c r="C4" s="61"/>
      <c r="D4" s="61"/>
      <c r="E4" s="61"/>
      <c r="F4" s="61"/>
      <c r="G4" s="62"/>
    </row>
    <row r="5" spans="2:8" ht="21" customHeight="1" x14ac:dyDescent="0.25">
      <c r="B5" s="63" t="s">
        <v>0</v>
      </c>
      <c r="C5" s="64"/>
      <c r="D5" s="64"/>
      <c r="E5" s="64"/>
      <c r="F5" s="64"/>
      <c r="G5" s="65"/>
    </row>
    <row r="6" spans="2:8" x14ac:dyDescent="0.25">
      <c r="B6" s="14" t="s">
        <v>1</v>
      </c>
      <c r="C6" s="14" t="s">
        <v>12</v>
      </c>
      <c r="D6" s="14"/>
      <c r="E6" s="14" t="s">
        <v>3</v>
      </c>
      <c r="F6" s="14" t="s">
        <v>4</v>
      </c>
      <c r="G6" s="14" t="s">
        <v>5</v>
      </c>
    </row>
    <row r="7" spans="2:8" ht="24" customHeight="1" x14ac:dyDescent="0.25">
      <c r="B7" s="11" t="s">
        <v>74</v>
      </c>
      <c r="C7" s="71" t="s">
        <v>122</v>
      </c>
      <c r="D7" s="71"/>
      <c r="E7" s="11" t="s">
        <v>6</v>
      </c>
      <c r="F7" s="12"/>
      <c r="G7" s="13">
        <f>IFERROR(IF(COUNT(G9:G11)&lt;3,SMALL(G9:G11,1),MEDIAN(G9:G11)),"")</f>
        <v>20.46</v>
      </c>
      <c r="H7" s="15" t="str">
        <f>B7</f>
        <v>COTAÇÃO 01</v>
      </c>
    </row>
    <row r="8" spans="2:8" x14ac:dyDescent="0.25">
      <c r="B8" s="10" t="s">
        <v>7</v>
      </c>
      <c r="C8" s="10" t="s">
        <v>8</v>
      </c>
      <c r="D8" s="10" t="s">
        <v>2</v>
      </c>
      <c r="E8" s="10" t="s">
        <v>11</v>
      </c>
      <c r="F8" s="10" t="s">
        <v>9</v>
      </c>
      <c r="G8" s="10" t="s">
        <v>10</v>
      </c>
      <c r="H8" s="15"/>
    </row>
    <row r="9" spans="2:8" ht="60" x14ac:dyDescent="0.25">
      <c r="B9" s="6" t="s">
        <v>115</v>
      </c>
      <c r="C9" s="20" t="s">
        <v>114</v>
      </c>
      <c r="D9" s="7" t="s">
        <v>112</v>
      </c>
      <c r="E9" s="47" t="s">
        <v>113</v>
      </c>
      <c r="F9" s="8">
        <v>45145</v>
      </c>
      <c r="G9" s="9">
        <v>22.4</v>
      </c>
      <c r="H9" s="15"/>
    </row>
    <row r="10" spans="2:8" ht="60" x14ac:dyDescent="0.25">
      <c r="B10" s="6" t="s">
        <v>117</v>
      </c>
      <c r="C10" s="20" t="s">
        <v>116</v>
      </c>
      <c r="D10" s="7" t="s">
        <v>112</v>
      </c>
      <c r="E10" s="47" t="s">
        <v>118</v>
      </c>
      <c r="F10" s="8">
        <v>45166</v>
      </c>
      <c r="G10" s="9">
        <v>20.46</v>
      </c>
      <c r="H10" s="15"/>
    </row>
    <row r="11" spans="2:8" ht="45" x14ac:dyDescent="0.25">
      <c r="B11" s="6" t="s">
        <v>121</v>
      </c>
      <c r="C11" s="20" t="s">
        <v>120</v>
      </c>
      <c r="D11" s="7" t="s">
        <v>112</v>
      </c>
      <c r="E11" s="47" t="s">
        <v>119</v>
      </c>
      <c r="F11" s="8">
        <v>44985</v>
      </c>
      <c r="G11" s="9">
        <v>12.55</v>
      </c>
      <c r="H11" s="15"/>
    </row>
    <row r="12" spans="2:8" x14ac:dyDescent="0.25">
      <c r="B12" s="3"/>
      <c r="C12" s="4"/>
      <c r="D12" s="4"/>
      <c r="E12" s="4"/>
      <c r="F12" s="4"/>
      <c r="G12" s="5"/>
      <c r="H12" s="15"/>
    </row>
    <row r="13" spans="2:8" x14ac:dyDescent="0.25">
      <c r="B13" s="14" t="s">
        <v>1</v>
      </c>
      <c r="C13" s="14" t="s">
        <v>12</v>
      </c>
      <c r="D13" s="14"/>
      <c r="E13" s="14" t="s">
        <v>3</v>
      </c>
      <c r="F13" s="14" t="s">
        <v>4</v>
      </c>
      <c r="G13" s="14" t="s">
        <v>5</v>
      </c>
      <c r="H13" s="15"/>
    </row>
    <row r="14" spans="2:8" x14ac:dyDescent="0.25">
      <c r="B14" s="11" t="s">
        <v>75</v>
      </c>
      <c r="C14" s="70"/>
      <c r="D14" s="70"/>
      <c r="E14" s="11"/>
      <c r="F14" s="12"/>
      <c r="G14" s="13" t="str">
        <f>IFERROR(IF(COUNT(G16:G18)&lt;3,SMALL(G16:G18,1),MEDIAN(G16:G18)),"")</f>
        <v/>
      </c>
      <c r="H14" s="15" t="str">
        <f>B14</f>
        <v>COTAÇÃO 02</v>
      </c>
    </row>
    <row r="15" spans="2:8" x14ac:dyDescent="0.25">
      <c r="B15" s="10" t="s">
        <v>7</v>
      </c>
      <c r="C15" s="10" t="s">
        <v>8</v>
      </c>
      <c r="D15" s="10" t="s">
        <v>2</v>
      </c>
      <c r="E15" s="10" t="s">
        <v>11</v>
      </c>
      <c r="F15" s="10" t="s">
        <v>9</v>
      </c>
      <c r="G15" s="10" t="s">
        <v>10</v>
      </c>
      <c r="H15" s="15"/>
    </row>
    <row r="16" spans="2:8" x14ac:dyDescent="0.25">
      <c r="B16" s="6"/>
      <c r="C16" s="20"/>
      <c r="D16" s="7"/>
      <c r="E16" s="18"/>
      <c r="F16" s="8"/>
      <c r="G16" s="9"/>
      <c r="H16" s="15"/>
    </row>
    <row r="17" spans="2:8" x14ac:dyDescent="0.25">
      <c r="B17" s="6"/>
      <c r="C17" s="20"/>
      <c r="D17" s="7"/>
      <c r="E17" s="18"/>
      <c r="F17" s="8"/>
      <c r="G17" s="9"/>
      <c r="H17" s="15"/>
    </row>
    <row r="18" spans="2:8" x14ac:dyDescent="0.25">
      <c r="B18" s="6"/>
      <c r="C18" s="20"/>
      <c r="D18" s="7"/>
      <c r="E18" s="18"/>
      <c r="F18" s="8"/>
      <c r="G18" s="9"/>
      <c r="H18" s="15"/>
    </row>
    <row r="19" spans="2:8" x14ac:dyDescent="0.25">
      <c r="B19" s="3"/>
      <c r="C19" s="4"/>
      <c r="D19" s="4"/>
      <c r="E19" s="4"/>
      <c r="F19" s="4"/>
      <c r="G19" s="5"/>
      <c r="H19" s="15"/>
    </row>
    <row r="20" spans="2:8" x14ac:dyDescent="0.25">
      <c r="B20" s="14" t="s">
        <v>1</v>
      </c>
      <c r="C20" s="14" t="s">
        <v>12</v>
      </c>
      <c r="D20" s="14"/>
      <c r="E20" s="14" t="s">
        <v>3</v>
      </c>
      <c r="F20" s="14" t="s">
        <v>4</v>
      </c>
      <c r="G20" s="14" t="s">
        <v>5</v>
      </c>
      <c r="H20" s="15"/>
    </row>
    <row r="21" spans="2:8" x14ac:dyDescent="0.25">
      <c r="B21" s="11" t="s">
        <v>76</v>
      </c>
      <c r="C21" s="70"/>
      <c r="D21" s="70"/>
      <c r="E21" s="11"/>
      <c r="F21" s="12"/>
      <c r="G21" s="13" t="str">
        <f>IFERROR(IF(COUNT(G23:G25)&lt;3,SMALL(G23:G25,1),MEDIAN(G23:G25)),"")</f>
        <v/>
      </c>
      <c r="H21" s="15" t="str">
        <f>B21</f>
        <v>COTAÇÃO 03</v>
      </c>
    </row>
    <row r="22" spans="2:8" x14ac:dyDescent="0.25">
      <c r="B22" s="10" t="s">
        <v>7</v>
      </c>
      <c r="C22" s="10" t="s">
        <v>8</v>
      </c>
      <c r="D22" s="10" t="s">
        <v>2</v>
      </c>
      <c r="E22" s="10" t="s">
        <v>11</v>
      </c>
      <c r="F22" s="10" t="s">
        <v>9</v>
      </c>
      <c r="G22" s="10" t="s">
        <v>10</v>
      </c>
    </row>
    <row r="23" spans="2:8" x14ac:dyDescent="0.25">
      <c r="B23" s="6"/>
      <c r="C23" s="20"/>
      <c r="D23" s="7"/>
      <c r="E23" s="18"/>
      <c r="F23" s="8"/>
      <c r="G23" s="9"/>
    </row>
    <row r="24" spans="2:8" x14ac:dyDescent="0.25">
      <c r="B24" s="6"/>
      <c r="C24" s="20"/>
      <c r="D24" s="7"/>
      <c r="E24" s="18"/>
      <c r="F24" s="8"/>
      <c r="G24" s="9"/>
    </row>
    <row r="25" spans="2:8" x14ac:dyDescent="0.25">
      <c r="B25" s="6"/>
      <c r="C25" s="20"/>
      <c r="D25" s="7"/>
      <c r="E25" s="18"/>
      <c r="F25" s="8"/>
      <c r="G25" s="9"/>
    </row>
    <row r="26" spans="2:8" x14ac:dyDescent="0.25">
      <c r="B26" s="3"/>
      <c r="C26" s="4"/>
      <c r="D26" s="4"/>
      <c r="E26" s="4"/>
      <c r="F26" s="4"/>
      <c r="G26" s="5"/>
    </row>
  </sheetData>
  <mergeCells count="7">
    <mergeCell ref="C21:D21"/>
    <mergeCell ref="B2:G2"/>
    <mergeCell ref="B3:G3"/>
    <mergeCell ref="B4:G4"/>
    <mergeCell ref="B5:G5"/>
    <mergeCell ref="C7:D7"/>
    <mergeCell ref="C14:D14"/>
  </mergeCells>
  <hyperlinks>
    <hyperlink ref="E9" r:id="rId1" xr:uid="{00000000-0004-0000-0400-000000000000}"/>
    <hyperlink ref="E10" r:id="rId2" xr:uid="{00000000-0004-0000-0400-000001000000}"/>
    <hyperlink ref="E11" r:id="rId3" xr:uid="{00000000-0004-0000-0400-000002000000}"/>
  </hyperlinks>
  <pageMargins left="0.511811024" right="0.511811024" top="0.78740157499999996" bottom="0.78740157499999996" header="0.31496062000000002" footer="0.31496062000000002"/>
  <pageSetup paperSize="9" scale="52" orientation="landscape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18"/>
  <sheetViews>
    <sheetView showGridLines="0" view="pageBreakPreview" zoomScaleNormal="90" zoomScaleSheetLayoutView="100" workbookViewId="0">
      <selection activeCell="B9" sqref="B9"/>
    </sheetView>
  </sheetViews>
  <sheetFormatPr defaultRowHeight="12.75" x14ac:dyDescent="0.25"/>
  <cols>
    <col min="1" max="1" width="2.85546875" style="2" customWidth="1"/>
    <col min="2" max="2" width="9.140625" style="2"/>
    <col min="3" max="3" width="28.7109375" style="2" customWidth="1"/>
    <col min="4" max="4" width="11" style="2" bestFit="1" customWidth="1"/>
    <col min="5" max="5" width="13.5703125" style="2" bestFit="1" customWidth="1"/>
    <col min="6" max="6" width="11" style="2" bestFit="1" customWidth="1"/>
    <col min="7" max="7" width="15" style="2" bestFit="1" customWidth="1"/>
    <col min="8" max="8" width="11" style="2" bestFit="1" customWidth="1"/>
    <col min="9" max="9" width="15" style="2" bestFit="1" customWidth="1"/>
    <col min="10" max="10" width="11" style="2" bestFit="1" customWidth="1"/>
    <col min="11" max="11" width="15" style="2" bestFit="1" customWidth="1"/>
    <col min="12" max="12" width="11" style="2" bestFit="1" customWidth="1"/>
    <col min="13" max="13" width="15" style="2" bestFit="1" customWidth="1"/>
    <col min="14" max="14" width="11" style="2" bestFit="1" customWidth="1"/>
    <col min="15" max="15" width="15" style="2" bestFit="1" customWidth="1"/>
    <col min="16" max="16" width="11" style="2" bestFit="1" customWidth="1"/>
    <col min="17" max="17" width="15" style="2" bestFit="1" customWidth="1"/>
    <col min="18" max="18" width="11" style="2" bestFit="1" customWidth="1"/>
    <col min="19" max="19" width="15" style="2" bestFit="1" customWidth="1"/>
    <col min="20" max="20" width="11.28515625" style="2" bestFit="1" customWidth="1"/>
    <col min="21" max="21" width="15" style="2" bestFit="1" customWidth="1"/>
    <col min="22" max="22" width="11" style="2" bestFit="1" customWidth="1"/>
    <col min="23" max="23" width="15" style="2" bestFit="1" customWidth="1"/>
    <col min="24" max="24" width="7.7109375" style="2" bestFit="1" customWidth="1"/>
    <col min="25" max="16384" width="9.140625" style="2"/>
  </cols>
  <sheetData>
    <row r="1" spans="2:24" ht="15" customHeight="1" x14ac:dyDescent="0.25"/>
    <row r="2" spans="2:24" ht="21" customHeight="1" x14ac:dyDescent="0.25">
      <c r="B2" s="57" t="s">
        <v>77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9"/>
    </row>
    <row r="3" spans="2:24" ht="21" customHeight="1" x14ac:dyDescent="0.25">
      <c r="B3" s="60" t="s">
        <v>106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</row>
    <row r="4" spans="2:24" ht="21" customHeight="1" x14ac:dyDescent="0.25">
      <c r="B4" s="60" t="s">
        <v>13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</row>
    <row r="5" spans="2:24" ht="21" customHeight="1" x14ac:dyDescent="0.25">
      <c r="B5" s="63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2:24" ht="15.75" x14ac:dyDescent="0.25">
      <c r="B6" s="75" t="s">
        <v>58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</row>
    <row r="7" spans="2:24" x14ac:dyDescent="0.25">
      <c r="B7" s="77" t="s">
        <v>15</v>
      </c>
      <c r="C7" s="78"/>
      <c r="D7" s="73" t="s">
        <v>59</v>
      </c>
      <c r="E7" s="74"/>
      <c r="F7" s="73" t="s">
        <v>62</v>
      </c>
      <c r="G7" s="74"/>
      <c r="H7" s="73" t="s">
        <v>65</v>
      </c>
      <c r="I7" s="74"/>
      <c r="J7" s="73" t="s">
        <v>125</v>
      </c>
      <c r="K7" s="74"/>
      <c r="L7" s="73" t="s">
        <v>126</v>
      </c>
      <c r="M7" s="74"/>
      <c r="N7" s="73" t="s">
        <v>127</v>
      </c>
      <c r="O7" s="74"/>
      <c r="P7" s="73" t="s">
        <v>128</v>
      </c>
      <c r="Q7" s="74"/>
      <c r="R7" s="73" t="s">
        <v>129</v>
      </c>
      <c r="S7" s="74"/>
      <c r="T7" s="73" t="s">
        <v>130</v>
      </c>
      <c r="U7" s="74"/>
      <c r="V7" s="73" t="s">
        <v>131</v>
      </c>
      <c r="W7" s="74"/>
    </row>
    <row r="8" spans="2:24" x14ac:dyDescent="0.25">
      <c r="B8" s="79"/>
      <c r="C8" s="80"/>
      <c r="D8" s="16" t="s">
        <v>61</v>
      </c>
      <c r="E8" s="16" t="s">
        <v>60</v>
      </c>
      <c r="F8" s="16" t="s">
        <v>61</v>
      </c>
      <c r="G8" s="16" t="s">
        <v>60</v>
      </c>
      <c r="H8" s="16" t="s">
        <v>61</v>
      </c>
      <c r="I8" s="16" t="s">
        <v>60</v>
      </c>
      <c r="J8" s="16" t="s">
        <v>61</v>
      </c>
      <c r="K8" s="16" t="s">
        <v>60</v>
      </c>
      <c r="L8" s="16" t="s">
        <v>61</v>
      </c>
      <c r="M8" s="16" t="s">
        <v>60</v>
      </c>
      <c r="N8" s="16" t="s">
        <v>61</v>
      </c>
      <c r="O8" s="16" t="s">
        <v>60</v>
      </c>
      <c r="P8" s="16" t="s">
        <v>61</v>
      </c>
      <c r="Q8" s="16" t="s">
        <v>60</v>
      </c>
      <c r="R8" s="16" t="s">
        <v>61</v>
      </c>
      <c r="S8" s="16" t="s">
        <v>60</v>
      </c>
      <c r="T8" s="16" t="s">
        <v>61</v>
      </c>
      <c r="U8" s="16" t="s">
        <v>60</v>
      </c>
      <c r="V8" s="16" t="s">
        <v>61</v>
      </c>
      <c r="W8" s="16" t="s">
        <v>60</v>
      </c>
    </row>
    <row r="9" spans="2:24" x14ac:dyDescent="0.25">
      <c r="B9" s="37">
        <v>1</v>
      </c>
      <c r="C9" s="50" t="str">
        <f>VLOOKUP($B9,PO!$B$9:$N25,2,0)</f>
        <v>CALÇADAS - LAJE GRÊS</v>
      </c>
      <c r="D9" s="39">
        <v>0.1</v>
      </c>
      <c r="E9" s="38">
        <f>D9*PO!$N13</f>
        <v>233624.47000000003</v>
      </c>
      <c r="F9" s="39">
        <v>0.1</v>
      </c>
      <c r="G9" s="38">
        <f>F9*PO!$N13</f>
        <v>233624.47000000003</v>
      </c>
      <c r="H9" s="39">
        <v>0.1</v>
      </c>
      <c r="I9" s="38">
        <f>H9*PO!$N13</f>
        <v>233624.47000000003</v>
      </c>
      <c r="J9" s="39">
        <v>0.1</v>
      </c>
      <c r="K9" s="38">
        <f>J9*PO!$N13</f>
        <v>233624.47000000003</v>
      </c>
      <c r="L9" s="39">
        <v>0.1</v>
      </c>
      <c r="M9" s="38">
        <f>L9*PO!$N13</f>
        <v>233624.47000000003</v>
      </c>
      <c r="N9" s="39">
        <v>0.1</v>
      </c>
      <c r="O9" s="38">
        <f>N9*PO!$N13</f>
        <v>233624.47000000003</v>
      </c>
      <c r="P9" s="39">
        <v>0.1</v>
      </c>
      <c r="Q9" s="38">
        <f>P9*PO!$N13</f>
        <v>233624.47000000003</v>
      </c>
      <c r="R9" s="39">
        <v>0.1</v>
      </c>
      <c r="S9" s="38">
        <f>R9*PO!$N13</f>
        <v>233624.47000000003</v>
      </c>
      <c r="T9" s="39">
        <v>0.1</v>
      </c>
      <c r="U9" s="38">
        <f>T9*PO!$N13</f>
        <v>233624.47000000003</v>
      </c>
      <c r="V9" s="39">
        <v>0.1</v>
      </c>
      <c r="W9" s="38">
        <f>V9*PO!$N13</f>
        <v>233624.47000000003</v>
      </c>
      <c r="X9" s="43">
        <f>D9+F9+H9+J9+L9+N9+P9+R9+T9+V9</f>
        <v>0.99999999999999989</v>
      </c>
    </row>
    <row r="10" spans="2:24" x14ac:dyDescent="0.25">
      <c r="B10" s="37">
        <v>2</v>
      </c>
      <c r="C10" s="50" t="str">
        <f>VLOOKUP($B10,PO!$B$9:$N26,2,0)</f>
        <v>CALÇADAS - CONCRETO</v>
      </c>
      <c r="D10" s="39">
        <v>0.1</v>
      </c>
      <c r="E10" s="38">
        <f>D10*PO!$N24</f>
        <v>308234.94400000008</v>
      </c>
      <c r="F10" s="39">
        <v>0.1</v>
      </c>
      <c r="G10" s="38">
        <f>F10*PO!$N24</f>
        <v>308234.94400000008</v>
      </c>
      <c r="H10" s="39">
        <v>0.1</v>
      </c>
      <c r="I10" s="38">
        <f>H10*PO!$N24</f>
        <v>308234.94400000008</v>
      </c>
      <c r="J10" s="39">
        <v>0.1</v>
      </c>
      <c r="K10" s="38">
        <f>J10*PO!$N24</f>
        <v>308234.94400000008</v>
      </c>
      <c r="L10" s="39">
        <v>0.1</v>
      </c>
      <c r="M10" s="38">
        <f>L10*PO!$N24</f>
        <v>308234.94400000008</v>
      </c>
      <c r="N10" s="39">
        <v>0.1</v>
      </c>
      <c r="O10" s="38">
        <f>N10*PO!$N24</f>
        <v>308234.94400000008</v>
      </c>
      <c r="P10" s="39">
        <v>0.1</v>
      </c>
      <c r="Q10" s="38">
        <f>P10*PO!$N24</f>
        <v>308234.94400000008</v>
      </c>
      <c r="R10" s="39">
        <v>0.1</v>
      </c>
      <c r="S10" s="38">
        <f>R10*PO!$N24</f>
        <v>308234.94400000008</v>
      </c>
      <c r="T10" s="39">
        <v>0.1</v>
      </c>
      <c r="U10" s="38">
        <f>T10*PO!$N24</f>
        <v>308234.94400000008</v>
      </c>
      <c r="V10" s="39">
        <v>0.1</v>
      </c>
      <c r="W10" s="38">
        <f>V10*PO!$N24</f>
        <v>308234.94400000008</v>
      </c>
      <c r="X10" s="43">
        <f>D10+F10+H10+J10+L10+N10+P10+R10+T10+V10</f>
        <v>0.99999999999999989</v>
      </c>
    </row>
    <row r="11" spans="2:24" ht="15" customHeight="1" x14ac:dyDescent="0.25">
      <c r="B11" s="72" t="s">
        <v>63</v>
      </c>
      <c r="C11" s="72"/>
      <c r="D11" s="40">
        <f>E11/PO!$N$25</f>
        <v>0.1</v>
      </c>
      <c r="E11" s="41">
        <f>SUM(E9:E10)</f>
        <v>541859.41400000011</v>
      </c>
      <c r="F11" s="40">
        <f>G11/PO!$N$25</f>
        <v>0.1</v>
      </c>
      <c r="G11" s="41">
        <f>SUM(G9:G10)</f>
        <v>541859.41400000011</v>
      </c>
      <c r="H11" s="40">
        <f>I11/PO!$N$25</f>
        <v>0.1</v>
      </c>
      <c r="I11" s="41">
        <f>SUM(I9:I10)</f>
        <v>541859.41400000011</v>
      </c>
      <c r="J11" s="40">
        <f>K11/PO!$N$25</f>
        <v>0.1</v>
      </c>
      <c r="K11" s="41">
        <f>SUM(K9:K10)</f>
        <v>541859.41400000011</v>
      </c>
      <c r="L11" s="40">
        <f>M11/PO!$N$25</f>
        <v>0.1</v>
      </c>
      <c r="M11" s="41">
        <f>SUM(M9:M10)</f>
        <v>541859.41400000011</v>
      </c>
      <c r="N11" s="40">
        <f>O11/PO!$N$25</f>
        <v>0.1</v>
      </c>
      <c r="O11" s="41">
        <f>SUM(O9:O10)</f>
        <v>541859.41400000011</v>
      </c>
      <c r="P11" s="40">
        <f>Q11/PO!$N$25</f>
        <v>0.1</v>
      </c>
      <c r="Q11" s="41">
        <f>SUM(Q9:Q10)</f>
        <v>541859.41400000011</v>
      </c>
      <c r="R11" s="40">
        <f>S11/PO!$N$25</f>
        <v>0.1</v>
      </c>
      <c r="S11" s="41">
        <f>SUM(S9:S10)</f>
        <v>541859.41400000011</v>
      </c>
      <c r="T11" s="40">
        <f>U11/PO!$N$25</f>
        <v>0.1</v>
      </c>
      <c r="U11" s="41">
        <f>SUM(U9:U10)</f>
        <v>541859.41400000011</v>
      </c>
      <c r="V11" s="40">
        <f>W11/PO!$N$25</f>
        <v>0.1</v>
      </c>
      <c r="W11" s="41">
        <f>SUM(W9:W10)</f>
        <v>541859.41400000011</v>
      </c>
    </row>
    <row r="12" spans="2:24" ht="15" customHeight="1" x14ac:dyDescent="0.25">
      <c r="B12" s="72" t="s">
        <v>64</v>
      </c>
      <c r="C12" s="72"/>
      <c r="D12" s="43">
        <f>D11</f>
        <v>0.1</v>
      </c>
      <c r="E12" s="41">
        <f>E11</f>
        <v>541859.41400000011</v>
      </c>
      <c r="F12" s="40">
        <f>G12/PO!$N$25</f>
        <v>0.2</v>
      </c>
      <c r="G12" s="41">
        <f>E12+G11</f>
        <v>1083718.8280000002</v>
      </c>
      <c r="H12" s="40">
        <f>I12/PO!$N$25</f>
        <v>0.30000000000000004</v>
      </c>
      <c r="I12" s="41">
        <f>G12+I11</f>
        <v>1625578.2420000003</v>
      </c>
      <c r="J12" s="40">
        <f>K12/PO!$N$25</f>
        <v>0.4</v>
      </c>
      <c r="K12" s="41">
        <f>I12+K11</f>
        <v>2167437.6560000004</v>
      </c>
      <c r="L12" s="40">
        <f>M12/PO!$N$25</f>
        <v>0.5</v>
      </c>
      <c r="M12" s="41">
        <f>K12+M11</f>
        <v>2709297.0700000003</v>
      </c>
      <c r="N12" s="40">
        <f>O12/PO!$N$25</f>
        <v>0.6</v>
      </c>
      <c r="O12" s="41">
        <f>M12+O11</f>
        <v>3251156.4840000002</v>
      </c>
      <c r="P12" s="40">
        <f>Q12/PO!$N$25</f>
        <v>0.7</v>
      </c>
      <c r="Q12" s="41">
        <f>O12+Q11</f>
        <v>3793015.898</v>
      </c>
      <c r="R12" s="40">
        <f>S12/PO!$N$25</f>
        <v>0.79999999999999993</v>
      </c>
      <c r="S12" s="41">
        <f>Q12+S11</f>
        <v>4334875.3119999999</v>
      </c>
      <c r="T12" s="40">
        <f>U12/PO!$N$25</f>
        <v>0.89999999999999991</v>
      </c>
      <c r="U12" s="41">
        <f>S12+U11</f>
        <v>4876734.7259999998</v>
      </c>
      <c r="V12" s="44">
        <f>W12/PO!$N$25</f>
        <v>0.99999999999999978</v>
      </c>
      <c r="W12" s="42">
        <f>U12+W11</f>
        <v>5418594.1399999997</v>
      </c>
    </row>
    <row r="14" spans="2:24" ht="15.75" x14ac:dyDescent="0.25">
      <c r="B14" s="33" t="s">
        <v>55</v>
      </c>
      <c r="G14" s="35"/>
      <c r="I14" s="35"/>
      <c r="K14" s="35"/>
      <c r="M14" s="35"/>
      <c r="O14" s="35"/>
      <c r="Q14" s="35"/>
      <c r="S14" s="35"/>
      <c r="T14" s="35" t="s">
        <v>56</v>
      </c>
      <c r="U14" s="54">
        <f ca="1">TODAY()</f>
        <v>45377</v>
      </c>
      <c r="V14" s="54"/>
      <c r="W14" s="54"/>
    </row>
    <row r="15" spans="2:24" ht="15.75" x14ac:dyDescent="0.25">
      <c r="B15" s="34" t="s">
        <v>124</v>
      </c>
      <c r="G15"/>
      <c r="I15"/>
      <c r="K15"/>
      <c r="M15"/>
      <c r="O15"/>
      <c r="Q15"/>
      <c r="S15"/>
      <c r="U15"/>
      <c r="V15"/>
      <c r="W15"/>
    </row>
    <row r="16" spans="2:24" ht="15.75" x14ac:dyDescent="0.25">
      <c r="B16" s="34" t="s">
        <v>66</v>
      </c>
    </row>
    <row r="17" spans="2:3" ht="15.75" x14ac:dyDescent="0.25">
      <c r="B17" s="34" t="s">
        <v>69</v>
      </c>
      <c r="C17" s="45">
        <v>0.23380000000000001</v>
      </c>
    </row>
    <row r="18" spans="2:3" ht="15.75" x14ac:dyDescent="0.25">
      <c r="B18" s="34" t="s">
        <v>132</v>
      </c>
    </row>
  </sheetData>
  <mergeCells count="19">
    <mergeCell ref="B5:W5"/>
    <mergeCell ref="B4:W4"/>
    <mergeCell ref="B3:W3"/>
    <mergeCell ref="B2:W2"/>
    <mergeCell ref="B7:C8"/>
    <mergeCell ref="D7:E7"/>
    <mergeCell ref="T7:U7"/>
    <mergeCell ref="R7:S7"/>
    <mergeCell ref="P7:Q7"/>
    <mergeCell ref="N7:O7"/>
    <mergeCell ref="L7:M7"/>
    <mergeCell ref="J7:K7"/>
    <mergeCell ref="H7:I7"/>
    <mergeCell ref="F7:G7"/>
    <mergeCell ref="B11:C11"/>
    <mergeCell ref="B12:C12"/>
    <mergeCell ref="V7:W7"/>
    <mergeCell ref="B6:W6"/>
    <mergeCell ref="U14:W14"/>
  </mergeCells>
  <pageMargins left="0.51181102362204722" right="0.51181102362204722" top="0.78740157480314965" bottom="0.78740157480314965" header="0.31496062992125984" footer="0.31496062992125984"/>
  <pageSetup paperSize="9" scale="65" fitToWidth="2" orientation="landscape" r:id="rId1"/>
  <colBreaks count="1" manualBreakCount="1">
    <brk id="15" max="1048575" man="1"/>
  </colBreaks>
  <ignoredErrors>
    <ignoredError sqref="T11:T12 U11:V11 E11:F11 H11:H12 J11:J12 L11:L12 N11:N12 P11:P12 R11:R12 U12:V12 G11:G12 I11:I12 K11:K12 M11:M12 O11:O12 Q11:Q12 S11:S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PO</vt:lpstr>
      <vt:lpstr>CPU</vt:lpstr>
      <vt:lpstr>Insumos_MAT</vt:lpstr>
      <vt:lpstr>Insumos_MO</vt:lpstr>
      <vt:lpstr>Cotações</vt:lpstr>
      <vt:lpstr>Cronograma</vt:lpstr>
      <vt:lpstr>Cotações!Area_de_impressao</vt:lpstr>
      <vt:lpstr>CPU!Area_de_impressao</vt:lpstr>
      <vt:lpstr>Insumos_MO!Area_de_impressao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</dc:creator>
  <cp:lastModifiedBy>Cristiane Oliveira</cp:lastModifiedBy>
  <cp:lastPrinted>2024-03-13T13:35:29Z</cp:lastPrinted>
  <dcterms:created xsi:type="dcterms:W3CDTF">2023-06-14T12:56:34Z</dcterms:created>
  <dcterms:modified xsi:type="dcterms:W3CDTF">2024-03-26T17:32:59Z</dcterms:modified>
</cp:coreProperties>
</file>